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4220" windowHeight="8835" firstSheet="1" activeTab="1"/>
  </bookViews>
  <sheets>
    <sheet name="okres" sheetId="6" state="hidden" r:id="rId1"/>
    <sheet name="doch_wyd" sheetId="4" r:id="rId2"/>
    <sheet name="rysunki" sheetId="7" r:id="rId3"/>
    <sheet name="definicja" sheetId="5" r:id="rId4"/>
  </sheets>
  <definedNames>
    <definedName name="_xlnm.Print_Area" localSheetId="1">doch_wyd!$A$1:$L$66,doch_wyd!#REF!</definedName>
  </definedNames>
  <calcPr calcId="124519"/>
</workbook>
</file>

<file path=xl/calcChain.xml><?xml version="1.0" encoding="utf-8"?>
<calcChain xmlns="http://schemas.openxmlformats.org/spreadsheetml/2006/main">
  <c r="R11" i="4"/>
  <c r="R10"/>
  <c r="R1"/>
  <c r="I47"/>
  <c r="I46"/>
  <c r="I45"/>
  <c r="I22"/>
  <c r="I21"/>
  <c r="I20"/>
  <c r="I19"/>
  <c r="I18"/>
  <c r="I17"/>
  <c r="I16"/>
  <c r="I15"/>
  <c r="I14"/>
  <c r="I13"/>
  <c r="I12"/>
  <c r="I11"/>
  <c r="I10"/>
  <c r="I9"/>
  <c r="I6"/>
  <c r="H62"/>
  <c r="H60"/>
  <c r="H59"/>
  <c r="H58"/>
  <c r="H57"/>
  <c r="H55"/>
  <c r="H47"/>
  <c r="H46"/>
  <c r="H45"/>
  <c r="H22"/>
  <c r="H21"/>
  <c r="H20"/>
  <c r="H19"/>
  <c r="H18"/>
  <c r="H17"/>
  <c r="H16"/>
  <c r="H15"/>
  <c r="H14"/>
  <c r="H13"/>
  <c r="H12"/>
  <c r="H11"/>
  <c r="H10"/>
  <c r="H9"/>
  <c r="H6"/>
  <c r="G62"/>
  <c r="G60"/>
  <c r="G59"/>
  <c r="G58"/>
  <c r="G57"/>
  <c r="G55"/>
  <c r="G47"/>
  <c r="G46"/>
  <c r="G45"/>
  <c r="G22"/>
  <c r="G21"/>
  <c r="G20"/>
  <c r="G19"/>
  <c r="G18"/>
  <c r="G17"/>
  <c r="G16"/>
  <c r="G15"/>
  <c r="G14"/>
  <c r="G13"/>
  <c r="G12"/>
  <c r="G11"/>
  <c r="G10"/>
  <c r="G9"/>
  <c r="G6"/>
  <c r="F62"/>
  <c r="F60"/>
  <c r="F59"/>
  <c r="F58"/>
  <c r="F57"/>
  <c r="F55"/>
  <c r="F47"/>
  <c r="F46"/>
  <c r="F45"/>
  <c r="F22"/>
  <c r="F21"/>
  <c r="F20"/>
  <c r="F19"/>
  <c r="F18"/>
  <c r="F17"/>
  <c r="F16"/>
  <c r="F15"/>
  <c r="F14"/>
  <c r="F13"/>
  <c r="F12"/>
  <c r="F11"/>
  <c r="F10"/>
  <c r="F9"/>
  <c r="F6"/>
  <c r="E62"/>
  <c r="E60"/>
  <c r="E59"/>
  <c r="E58"/>
  <c r="E57"/>
  <c r="E55"/>
  <c r="E47"/>
  <c r="E46"/>
  <c r="E45"/>
  <c r="E22"/>
  <c r="E21"/>
  <c r="E20"/>
  <c r="E19"/>
  <c r="E18"/>
  <c r="E17"/>
  <c r="E16"/>
  <c r="E15"/>
  <c r="E14"/>
  <c r="E13"/>
  <c r="E12"/>
  <c r="E11"/>
  <c r="E10"/>
  <c r="E9"/>
  <c r="E6"/>
  <c r="D62"/>
  <c r="D60"/>
  <c r="D59"/>
  <c r="D58"/>
  <c r="D57"/>
  <c r="D55"/>
  <c r="D47"/>
  <c r="D46"/>
  <c r="D45"/>
  <c r="D42"/>
  <c r="D41"/>
  <c r="D40"/>
  <c r="D39"/>
  <c r="D36"/>
  <c r="D35"/>
  <c r="D34"/>
  <c r="D33"/>
  <c r="D32"/>
  <c r="D31"/>
  <c r="D29"/>
  <c r="D28"/>
  <c r="D27"/>
  <c r="D26"/>
  <c r="D22"/>
  <c r="D21"/>
  <c r="D20"/>
  <c r="D19"/>
  <c r="D18"/>
  <c r="D17"/>
  <c r="D16"/>
  <c r="D15"/>
  <c r="D14"/>
  <c r="D13"/>
  <c r="D12"/>
  <c r="D11"/>
  <c r="D10"/>
  <c r="D9"/>
  <c r="D6"/>
  <c r="C62"/>
  <c r="C60"/>
  <c r="C59"/>
  <c r="C58"/>
  <c r="C57"/>
  <c r="C55"/>
  <c r="C47"/>
  <c r="C46"/>
  <c r="J46" s="1"/>
  <c r="C45"/>
  <c r="C42"/>
  <c r="C41"/>
  <c r="C40"/>
  <c r="C39"/>
  <c r="C36"/>
  <c r="C35"/>
  <c r="C34"/>
  <c r="C33"/>
  <c r="C32"/>
  <c r="C31"/>
  <c r="C29"/>
  <c r="C28"/>
  <c r="C27"/>
  <c r="C26"/>
  <c r="C22"/>
  <c r="C21"/>
  <c r="C20"/>
  <c r="C19"/>
  <c r="C18"/>
  <c r="C17"/>
  <c r="C16"/>
  <c r="C15"/>
  <c r="C14"/>
  <c r="C13"/>
  <c r="C12"/>
  <c r="K12" s="1"/>
  <c r="C11"/>
  <c r="C10"/>
  <c r="C9"/>
  <c r="C6"/>
  <c r="B71"/>
  <c r="B70"/>
  <c r="B69"/>
  <c r="B62"/>
  <c r="B60"/>
  <c r="B59"/>
  <c r="B58"/>
  <c r="B57"/>
  <c r="B55"/>
  <c r="B47"/>
  <c r="B46"/>
  <c r="B45"/>
  <c r="K45" s="1"/>
  <c r="K44"/>
  <c r="K43"/>
  <c r="B42"/>
  <c r="B41"/>
  <c r="B40"/>
  <c r="B39"/>
  <c r="B36"/>
  <c r="B35"/>
  <c r="K35" s="1"/>
  <c r="B34"/>
  <c r="K34" s="1"/>
  <c r="B33"/>
  <c r="K33" s="1"/>
  <c r="B32"/>
  <c r="K32" s="1"/>
  <c r="B31"/>
  <c r="B29"/>
  <c r="B28"/>
  <c r="B27"/>
  <c r="B26"/>
  <c r="K26" s="1"/>
  <c r="K25"/>
  <c r="B22"/>
  <c r="K22" s="1"/>
  <c r="B21"/>
  <c r="K21" s="1"/>
  <c r="B20"/>
  <c r="B19"/>
  <c r="B18"/>
  <c r="B17"/>
  <c r="B16"/>
  <c r="B15"/>
  <c r="B14"/>
  <c r="B13"/>
  <c r="B12"/>
  <c r="B11"/>
  <c r="B10"/>
  <c r="B9"/>
  <c r="B6"/>
  <c r="B3" i="6"/>
  <c r="B2"/>
  <c r="B4" s="1"/>
  <c r="B1"/>
  <c r="D73" i="4"/>
  <c r="K6"/>
  <c r="K10"/>
  <c r="K14"/>
  <c r="K16"/>
  <c r="K18"/>
  <c r="K20"/>
  <c r="K28"/>
  <c r="K39"/>
  <c r="B38"/>
  <c r="B37" s="1"/>
  <c r="B66" s="1"/>
  <c r="K41"/>
  <c r="K47"/>
  <c r="K57"/>
  <c r="K59"/>
  <c r="K62"/>
  <c r="C24"/>
  <c r="J24" s="1"/>
  <c r="C56"/>
  <c r="D30"/>
  <c r="D38"/>
  <c r="D37" s="1"/>
  <c r="D7" s="1"/>
  <c r="E37"/>
  <c r="F37"/>
  <c r="F7" s="1"/>
  <c r="F8" s="1"/>
  <c r="F23" s="1"/>
  <c r="G37"/>
  <c r="G7" s="1"/>
  <c r="G8" s="1"/>
  <c r="G23" s="1"/>
  <c r="H37"/>
  <c r="H7" s="1"/>
  <c r="H8" s="1"/>
  <c r="C69"/>
  <c r="R5" s="1"/>
  <c r="K9"/>
  <c r="K11"/>
  <c r="K13"/>
  <c r="K15"/>
  <c r="K17"/>
  <c r="K19"/>
  <c r="K27"/>
  <c r="K29"/>
  <c r="K36"/>
  <c r="K40"/>
  <c r="K42"/>
  <c r="K46"/>
  <c r="B56"/>
  <c r="K55"/>
  <c r="K58"/>
  <c r="K60"/>
  <c r="J35"/>
  <c r="J15"/>
  <c r="J18"/>
  <c r="J21"/>
  <c r="J26"/>
  <c r="J17"/>
  <c r="J14"/>
  <c r="J40"/>
  <c r="J22"/>
  <c r="J33"/>
  <c r="J47"/>
  <c r="J19"/>
  <c r="J25"/>
  <c r="J44"/>
  <c r="J16"/>
  <c r="J45"/>
  <c r="J29"/>
  <c r="J27"/>
  <c r="J39"/>
  <c r="J43"/>
  <c r="J32"/>
  <c r="D64"/>
  <c r="J10"/>
  <c r="J28"/>
  <c r="J36"/>
  <c r="J41"/>
  <c r="J31"/>
  <c r="J42"/>
  <c r="J34"/>
  <c r="J13"/>
  <c r="J11"/>
  <c r="J9"/>
  <c r="J6"/>
  <c r="C30"/>
  <c r="C38"/>
  <c r="C37" s="1"/>
  <c r="D24"/>
  <c r="J62"/>
  <c r="J58"/>
  <c r="J57"/>
  <c r="J59"/>
  <c r="J55"/>
  <c r="J60"/>
  <c r="D56"/>
  <c r="D61" s="1"/>
  <c r="J61" s="1"/>
  <c r="E7"/>
  <c r="E8" s="1"/>
  <c r="E56"/>
  <c r="E61" s="1"/>
  <c r="F56"/>
  <c r="F61" s="1"/>
  <c r="G56"/>
  <c r="G61" s="1"/>
  <c r="H56"/>
  <c r="C1" i="6"/>
  <c r="J56" i="4"/>
  <c r="B58" i="5"/>
  <c r="B61" i="4"/>
  <c r="K56"/>
  <c r="R12" l="1"/>
  <c r="R13" s="1"/>
  <c r="R14" s="1"/>
  <c r="R3" s="1"/>
  <c r="A49" s="1"/>
  <c r="I37"/>
  <c r="I7" s="1"/>
  <c r="I8" s="1"/>
  <c r="I23" s="1"/>
  <c r="H23"/>
  <c r="E23"/>
  <c r="K61"/>
  <c r="D8"/>
  <c r="D23" s="1"/>
  <c r="C61"/>
  <c r="C7"/>
  <c r="L20" s="1"/>
  <c r="J37"/>
  <c r="D66"/>
  <c r="J38"/>
  <c r="J30"/>
  <c r="J20"/>
  <c r="J12"/>
  <c r="R6"/>
  <c r="R2"/>
  <c r="A48" s="1"/>
  <c r="R7"/>
  <c r="R4"/>
  <c r="B64"/>
  <c r="K38"/>
  <c r="K37"/>
  <c r="B30"/>
  <c r="K30" s="1"/>
  <c r="K31"/>
  <c r="B24"/>
  <c r="K24" s="1"/>
  <c r="B7"/>
  <c r="B1" i="5"/>
  <c r="L30" i="4" l="1"/>
  <c r="L12"/>
  <c r="L7"/>
  <c r="L22"/>
  <c r="L31"/>
  <c r="L21"/>
  <c r="L10"/>
  <c r="L25"/>
  <c r="L26"/>
  <c r="L9"/>
  <c r="L14"/>
  <c r="L17"/>
  <c r="L11"/>
  <c r="L32"/>
  <c r="L35"/>
  <c r="D65"/>
  <c r="L15"/>
  <c r="L18"/>
  <c r="L24"/>
  <c r="L19"/>
  <c r="L28"/>
  <c r="L36"/>
  <c r="L16"/>
  <c r="L13"/>
  <c r="L29"/>
  <c r="L27"/>
  <c r="L34"/>
  <c r="L33"/>
  <c r="J7"/>
  <c r="C8"/>
  <c r="J8" s="1"/>
  <c r="K7"/>
  <c r="B8"/>
  <c r="B65"/>
  <c r="C23" l="1"/>
  <c r="J23" s="1"/>
  <c r="L8"/>
  <c r="B23"/>
  <c r="K8"/>
  <c r="L23" l="1"/>
  <c r="K23"/>
</calcChain>
</file>

<file path=xl/sharedStrings.xml><?xml version="1.0" encoding="utf-8"?>
<sst xmlns="http://schemas.openxmlformats.org/spreadsheetml/2006/main" count="393" uniqueCount="239">
  <si>
    <t xml:space="preserve">Wyszczególnienie </t>
  </si>
  <si>
    <t xml:space="preserve">Struktura </t>
  </si>
  <si>
    <t>w %%</t>
  </si>
  <si>
    <t>DOCHODY OGÓŁEM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</si>
  <si>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</si>
  <si>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</si>
  <si>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</si>
  <si>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</si>
  <si>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</si>
  <si>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</si>
  <si>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</si>
  <si>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</si>
  <si>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</si>
  <si>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</si>
  <si>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</si>
  <si>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</si>
  <si>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</si>
  <si>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</si>
  <si>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</si>
  <si>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</si>
  <si>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</si>
  <si>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</si>
  <si>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</si>
  <si>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</si>
  <si>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</si>
  <si>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</si>
  <si>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</si>
  <si>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A19</t>
  </si>
  <si>
    <t>A21</t>
  </si>
  <si>
    <t>A23</t>
  </si>
  <si>
    <t>A25</t>
  </si>
  <si>
    <t>A27</t>
  </si>
  <si>
    <t>Zobowiązania wg stanu na koniec 
okresu sprawozdawczego</t>
  </si>
  <si>
    <t xml:space="preserve">wydatki majątkowe      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</si>
  <si>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</si>
  <si>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</si>
  <si>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</si>
  <si>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</si>
  <si>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</si>
  <si>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</si>
  <si>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</si>
  <si>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</si>
  <si>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</si>
  <si>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</si>
  <si>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</si>
  <si>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</t>
  </si>
  <si>
    <t xml:space="preserve">WYNIK  </t>
  </si>
  <si>
    <t>Wskaźnik 
(3:2)</t>
  </si>
  <si>
    <t>A28</t>
  </si>
  <si>
    <t>A29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</si>
  <si>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</si>
  <si>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</si>
  <si>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</si>
  <si>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</si>
  <si>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</si>
  <si>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</si>
  <si>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</si>
  <si>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C=A-B</t>
  </si>
  <si>
    <t>DW</t>
  </si>
  <si>
    <t>B3=B-B1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</si>
  <si>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</si>
  <si>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</si>
  <si>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</si>
  <si>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</si>
  <si>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</si>
  <si>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A30</t>
  </si>
  <si>
    <t>A15=A1-A2-A3-A4-A5-A6-A7-A8-A9-A10-A11-A12-A13-A14</t>
  </si>
  <si>
    <t>A16=A17+A19+A21+A23+A25</t>
  </si>
  <si>
    <t>A1=A-A16-A27</t>
  </si>
  <si>
    <t>A31</t>
  </si>
  <si>
    <t>A32</t>
  </si>
  <si>
    <t>w tym wymagalne:</t>
  </si>
  <si>
    <t xml:space="preserve">podatek dochodowy od osób prawnych </t>
  </si>
  <si>
    <t>Wskaźnik 
(4:2)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</si>
  <si>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</si>
  <si>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</si>
  <si>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Dochody 
otrzymane
</t>
    </r>
    <r>
      <rPr>
        <b/>
        <sz val="10"/>
        <color indexed="8"/>
        <rFont val="Arial"/>
        <family val="2"/>
        <charset val="238"/>
      </rPr>
      <t>R9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</si>
  <si>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</si>
  <si>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</si>
  <si>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</si>
  <si>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</si>
  <si>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</si>
  <si>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</si>
  <si>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</si>
  <si>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</si>
  <si>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</si>
  <si>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</si>
  <si>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</si>
  <si>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w tym:   wynagrodzenia osobowe</t>
  </si>
  <si>
    <t>wydatki na obsługę długu</t>
  </si>
  <si>
    <t>dotacje</t>
  </si>
  <si>
    <t>pochodne od wynagrodzeń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</si>
  <si>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</si>
  <si>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</si>
  <si>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B=Σ§§</t>
  </si>
  <si>
    <t>PL</t>
  </si>
  <si>
    <t>DO</t>
  </si>
  <si>
    <t>SO</t>
  </si>
  <si>
    <t>SU</t>
  </si>
  <si>
    <t>PO</t>
  </si>
  <si>
    <t>UZ</t>
  </si>
  <si>
    <t>OT</t>
  </si>
  <si>
    <t>A = Σ §§</t>
  </si>
  <si>
    <t>ZA</t>
  </si>
  <si>
    <t>WW</t>
  </si>
  <si>
    <t>ZO</t>
  </si>
  <si>
    <t>LU</t>
  </si>
  <si>
    <t>RB</t>
  </si>
  <si>
    <t>WN</t>
  </si>
  <si>
    <t>P</t>
  </si>
  <si>
    <t>W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</si>
  <si>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</si>
  <si>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</si>
  <si>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</si>
  <si>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</si>
  <si>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r>
      <t xml:space="preserve">Wydatki, które nie wygasły 
z upływem roku budżetowego2) 
(art.191 ust. 2 i ust. 3 ustawy 
o finansach publicznych) 
</t>
    </r>
    <r>
      <rPr>
        <b/>
        <sz val="10"/>
        <rFont val="Arial"/>
        <family val="2"/>
        <charset val="238"/>
      </rPr>
      <t>R9</t>
    </r>
  </si>
  <si>
    <t>część regionalna</t>
  </si>
  <si>
    <t>A33</t>
  </si>
  <si>
    <t>A27=A28+A29+A30+A31+A32+A33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</si>
  <si>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</si>
  <si>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</si>
  <si>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</si>
  <si>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</si>
  <si>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</si>
  <si>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</si>
  <si>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kwartał</t>
  </si>
  <si>
    <t>rok</t>
  </si>
  <si>
    <t>stanNa</t>
  </si>
  <si>
    <t>paragraf zawiera(002)</t>
  </si>
  <si>
    <t>paragraf zawiera(001)</t>
  </si>
  <si>
    <t>paragraf zawiera(032)</t>
  </si>
  <si>
    <t>paragraf zawiera(031)</t>
  </si>
  <si>
    <t>paragraf zawiera(033)</t>
  </si>
  <si>
    <t>paragraf zawiera(034)</t>
  </si>
  <si>
    <t>paragraf zawiera(035)</t>
  </si>
  <si>
    <t>paragraf zawiera(036)</t>
  </si>
  <si>
    <t>paragraf zawiera(050)</t>
  </si>
  <si>
    <t>paragraf zawiera(041)</t>
  </si>
  <si>
    <t>paragraf zawiera(046)</t>
  </si>
  <si>
    <t>paragraf zawiera(043)</t>
  </si>
  <si>
    <t>paragraf zawiera(631,641,651)</t>
  </si>
  <si>
    <t>paragraf zawiera(632,642,652)</t>
  </si>
  <si>
    <t>paragraf zawiera(661,662,663,664)</t>
  </si>
  <si>
    <t>paragraf zawiera(626)</t>
  </si>
  <si>
    <t>paragraf zawiera(292) i dzial zawiera(758) i rozdzial zawiera(75803,75804,75807)</t>
  </si>
  <si>
    <t>paragraf zawiera(292) i dzial zawiera(758) i rozdzial zawiera(75801)</t>
  </si>
  <si>
    <t>paragraf zawiera(292) i dzial zawiera(758) i rozdzial zawiera(75805)</t>
  </si>
  <si>
    <t>paragraf zawiera(292) i dzial zawiera(758) i rozdzial zawiera(75831,75832)</t>
  </si>
  <si>
    <t>paragraf zawiera(292) i dzial zawiera(758) i rozdzial zawiera(75833)</t>
  </si>
  <si>
    <t>paragraf zawiera(275,276,277,278,279) i dzial zawiera(758) i rozdzial zawiera(75802)</t>
  </si>
  <si>
    <t>paragraf zawiera(401,402,405)</t>
  </si>
  <si>
    <t>paragraf zawiera(411,412)</t>
  </si>
  <si>
    <t>wpływy z usług</t>
  </si>
  <si>
    <t>paragraf zawiera(083)</t>
  </si>
  <si>
    <t>wpływy z opłaty komunikacyjnej</t>
  </si>
  <si>
    <t>paragraf zawiera(042)</t>
  </si>
  <si>
    <t>DOCHODY OGÓŁEM, 
z tego:</t>
  </si>
  <si>
    <t>paragraf zawiera(201,211,221)</t>
  </si>
  <si>
    <t>paragraf zawiera(202,212,222)</t>
  </si>
  <si>
    <t>paragraf zawiera(231,232,233,288)</t>
  </si>
  <si>
    <t>paragraf zawiera(244)</t>
  </si>
  <si>
    <t>Dochody majątkowe, z tego:</t>
  </si>
  <si>
    <t xml:space="preserve">Wydatki majątkowe      </t>
  </si>
  <si>
    <t>Wydatki bieżące 
z tego:</t>
  </si>
  <si>
    <t>świadczenia społeczne</t>
  </si>
  <si>
    <t>paragraf=311</t>
  </si>
  <si>
    <t>Struktura dochodów bieżących</t>
  </si>
  <si>
    <t>Plan 
(po zmianach)</t>
  </si>
  <si>
    <t>Dochody 
wykonane
(wpływy minus zwroty)</t>
  </si>
  <si>
    <t>Dochody 
otrzymane</t>
  </si>
  <si>
    <t>Obniżenie górnych stawek podatkowych</t>
  </si>
  <si>
    <t>Ulgi i zwolnienia</t>
  </si>
  <si>
    <t>Umorzenie zaległości podatkowych</t>
  </si>
  <si>
    <t>Rozłożenie na raty, odroczenie terminu płatności</t>
  </si>
  <si>
    <t>Potrącenia</t>
  </si>
  <si>
    <t>Zaangażowanie</t>
  </si>
  <si>
    <t>Wydatki
 wykonane</t>
  </si>
  <si>
    <t>ogółem</t>
  </si>
  <si>
    <t>powstałe w latach ubiegłych</t>
  </si>
  <si>
    <t>powstałe w roku bieżącym</t>
  </si>
  <si>
    <t>Wydatki, które nie wygasły 
z upływem roku budżetowego2) 
(art.191 ust. 2 i ust. 3 ustawy 
o finansach publicznych)</t>
  </si>
  <si>
    <t>w zł</t>
  </si>
  <si>
    <t>gmin</t>
  </si>
  <si>
    <t>powiatów</t>
  </si>
  <si>
    <t>miast na prawach powiatu</t>
  </si>
  <si>
    <t>województw</t>
  </si>
  <si>
    <t>G</t>
  </si>
  <si>
    <t>M</t>
  </si>
  <si>
    <t>Dochody ze sprzedaży majątku</t>
  </si>
  <si>
    <t>WYNIK OGÓŁEM 
(Dochody ogółem - Wydatki ogółem)</t>
  </si>
  <si>
    <t xml:space="preserve"> WYNIK BIEŻĄCY 
 (Dochody bieżące - Wydatki bieżące)</t>
  </si>
  <si>
    <t xml:space="preserve"> WYNIK MAJĄTKOWY 
 (Dochody majątkowe - Wydatki majątkowe)</t>
  </si>
  <si>
    <t>wydatki na wynagrodzenia i pochodne od wynagrodzeń</t>
  </si>
  <si>
    <t>Środki na inwestycje uzyskane z innych źródeł, w tym:</t>
  </si>
  <si>
    <t>Środki pochodzące z funduszy strukturalnych i Funduszu Spójności UE</t>
  </si>
  <si>
    <t xml:space="preserve">pozostałe </t>
  </si>
  <si>
    <t>paragraf zawiera(618,622)</t>
  </si>
  <si>
    <t>paragraf zawiera(620,628,629,630,665)</t>
  </si>
  <si>
    <t>paragraf zawiera(620,628,629,630,665) i FinPar zawiera(1,8)</t>
  </si>
  <si>
    <t>pozostałe</t>
  </si>
  <si>
    <t>jednostki samorządu terytorialnego</t>
  </si>
  <si>
    <t>Dla jednostki:</t>
  </si>
  <si>
    <t>PT</t>
  </si>
  <si>
    <t>GT</t>
  </si>
  <si>
    <t>GT&amp;PT</t>
  </si>
  <si>
    <t>samorząd województwa</t>
  </si>
  <si>
    <t>powiat</t>
  </si>
  <si>
    <t>miasto na prawach powiatu</t>
  </si>
  <si>
    <t>gmina miejska</t>
  </si>
  <si>
    <t>gmina wiejska</t>
  </si>
  <si>
    <t>gmina miejsko-wiejska</t>
  </si>
  <si>
    <t>GT&amp;PT*10</t>
  </si>
  <si>
    <t>Rok&amp;Kwartał</t>
  </si>
  <si>
    <t>paragraf zawiera(200,203,213,223)</t>
  </si>
  <si>
    <t>paragraf zawiera(273,633,643,653)</t>
  </si>
  <si>
    <t>paragraf zawiera(605,606)</t>
  </si>
  <si>
    <t>w tym:   wydatki na inwestycje i zakupy inwestycyjne</t>
  </si>
  <si>
    <t>paragraf zawiera(401,402,403,404,405,406,407,408,409,410,411,412,417)</t>
  </si>
  <si>
    <t>poręczenia i gwarancje</t>
  </si>
  <si>
    <t>paragraf zawiera(802)</t>
  </si>
  <si>
    <t>paragraf zawiera(801,806,807,810,811,812,813)</t>
  </si>
  <si>
    <t>paragraf zawiera(200,231,232,233,241,242,243,248,249,250,251,252,253,254,255,256,257,258,259,260,262,263,265,266,267,271,272,273,280,281,282,283,288)</t>
  </si>
  <si>
    <t>wynagrodzenia i pochodne od wynagrodzeń</t>
  </si>
  <si>
    <t>obsługa długu</t>
  </si>
  <si>
    <t>pozostałe wydatki bieżące</t>
  </si>
  <si>
    <t>paragraf zawiera(076,077,078,087)</t>
  </si>
  <si>
    <t>Nazwa</t>
  </si>
  <si>
    <t>KodGUS</t>
  </si>
  <si>
    <t>zawiera(601,602,603,605,606,607,608,611,612,613,614,615,616,617,618,620,621,622,623,624,626,627,628,629,630,631,632,633,641,642,643,651,652,653,661,662,663,664,665,680)</t>
  </si>
  <si>
    <t>paragraf like '6%'</t>
  </si>
  <si>
    <t>Dochody bieżące</t>
  </si>
  <si>
    <t>Dochody własne</t>
  </si>
  <si>
    <t>Dotacje celowe na zadania bieżące</t>
  </si>
  <si>
    <t>Subwencja ogólna</t>
  </si>
  <si>
    <t>Dochody majątkowe</t>
  </si>
  <si>
    <t>Dotacje celowe na zadania inwestycyjne</t>
  </si>
  <si>
    <t>Środki na inwestycje uzyskane z innych źródeł</t>
  </si>
  <si>
    <t>RYMAŃ</t>
  </si>
  <si>
    <t>INFORMACJA Z WYKONANIA BUDŻETU GMINY RYMAŃ ZA IV KW. 2019 R.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</si>
</sst>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"/>
    <numFmt numFmtId="165" formatCode="dd/mm/yy\ h:mm;@"/>
    <numFmt numFmtId="166" formatCode="_-* #,##0\ _z_ł_-;\-* #,##0\ _z_ł_-;_-* &quot;-&quot;??\ _z_ł_-;_-@_-"/>
    <numFmt numFmtId="167" formatCode="[$-415]d\ mmmm\ yyyy;@"/>
    <numFmt numFmtId="168" formatCode="0000000000"/>
  </numFmts>
  <fonts count="15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/>
    <xf numFmtId="0" fontId="7" fillId="3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3"/>
    </xf>
    <xf numFmtId="0" fontId="4" fillId="3" borderId="1" xfId="0" applyFont="1" applyFill="1" applyBorder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 wrapText="1" indent="2"/>
    </xf>
    <xf numFmtId="164" fontId="2" fillId="0" borderId="0" xfId="0" applyNumberFormat="1" applyFont="1" applyFill="1" applyBorder="1"/>
    <xf numFmtId="0" fontId="7" fillId="2" borderId="1" xfId="0" applyFont="1" applyFill="1" applyBorder="1" applyAlignment="1">
      <alignment horizontal="left" vertical="center" wrapText="1" indent="2"/>
    </xf>
    <xf numFmtId="0" fontId="6" fillId="4" borderId="1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/>
    <xf numFmtId="0" fontId="2" fillId="0" borderId="0" xfId="0" applyNumberFormat="1" applyFont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168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5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3"/>
    </xf>
    <xf numFmtId="164" fontId="3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 indent="3"/>
    </xf>
    <xf numFmtId="166" fontId="3" fillId="0" borderId="7" xfId="1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6" fontId="7" fillId="2" borderId="10" xfId="1" applyNumberFormat="1" applyFont="1" applyFill="1" applyBorder="1" applyAlignment="1">
      <alignment horizontal="right" vertical="center"/>
    </xf>
    <xf numFmtId="164" fontId="7" fillId="2" borderId="10" xfId="0" applyNumberFormat="1" applyFont="1" applyFill="1" applyBorder="1" applyAlignment="1">
      <alignment horizontal="right" vertical="center"/>
    </xf>
    <xf numFmtId="164" fontId="7" fillId="2" borderId="11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wrapText="1" indent="2"/>
    </xf>
    <xf numFmtId="166" fontId="3" fillId="2" borderId="7" xfId="1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6" fontId="3" fillId="2" borderId="10" xfId="1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 wrapText="1" indent="2"/>
    </xf>
    <xf numFmtId="164" fontId="2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 indent="2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8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 indent="2"/>
    </xf>
    <xf numFmtId="0" fontId="2" fillId="0" borderId="0" xfId="0" applyNumberFormat="1" applyFont="1" applyFill="1"/>
    <xf numFmtId="0" fontId="2" fillId="0" borderId="1" xfId="0" applyNumberFormat="1" applyFont="1" applyBorder="1"/>
    <xf numFmtId="0" fontId="7" fillId="2" borderId="6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66" fontId="3" fillId="0" borderId="0" xfId="1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right" vertical="center"/>
    </xf>
    <xf numFmtId="166" fontId="3" fillId="2" borderId="13" xfId="1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166" fontId="3" fillId="0" borderId="12" xfId="1" applyNumberFormat="1" applyFont="1" applyFill="1" applyBorder="1" applyAlignment="1">
      <alignment horizontal="right" vertical="center"/>
    </xf>
    <xf numFmtId="166" fontId="3" fillId="0" borderId="13" xfId="1" applyNumberFormat="1" applyFont="1" applyFill="1" applyBorder="1" applyAlignment="1">
      <alignment horizontal="right" vertical="center"/>
    </xf>
    <xf numFmtId="166" fontId="3" fillId="2" borderId="14" xfId="1" applyNumberFormat="1" applyFont="1" applyFill="1" applyBorder="1" applyAlignment="1">
      <alignment horizontal="right" vertical="center"/>
    </xf>
    <xf numFmtId="166" fontId="3" fillId="2" borderId="15" xfId="1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3" fillId="2" borderId="16" xfId="1" applyNumberFormat="1" applyFont="1" applyFill="1" applyBorder="1" applyAlignment="1">
      <alignment horizontal="right" vertical="center"/>
    </xf>
    <xf numFmtId="166" fontId="3" fillId="2" borderId="17" xfId="1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3" borderId="12" xfId="0" applyNumberFormat="1" applyFont="1" applyFill="1" applyBorder="1" applyAlignment="1">
      <alignment horizontal="left" vertical="center"/>
    </xf>
    <xf numFmtId="4" fontId="4" fillId="3" borderId="19" xfId="0" applyNumberFormat="1" applyFont="1" applyFill="1" applyBorder="1" applyAlignment="1">
      <alignment horizontal="left" vertical="center"/>
    </xf>
    <xf numFmtId="4" fontId="4" fillId="3" borderId="1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left" vertical="center"/>
    </xf>
    <xf numFmtId="4" fontId="7" fillId="0" borderId="12" xfId="0" applyNumberFormat="1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left" vertical="center"/>
    </xf>
    <xf numFmtId="4" fontId="7" fillId="3" borderId="12" xfId="0" applyNumberFormat="1" applyFont="1" applyFill="1" applyBorder="1" applyAlignment="1">
      <alignment horizontal="left" vertical="center"/>
    </xf>
    <xf numFmtId="4" fontId="7" fillId="3" borderId="19" xfId="0" applyNumberFormat="1" applyFont="1" applyFill="1" applyBorder="1" applyAlignment="1">
      <alignment horizontal="left" vertical="center"/>
    </xf>
    <xf numFmtId="4" fontId="7" fillId="3" borderId="13" xfId="0" applyNumberFormat="1" applyFont="1" applyFill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Wydatki</a:t>
            </a:r>
            <a:r>
              <a:rPr lang="pl-PL" baseline="0"/>
              <a:t> bieżące</a:t>
            </a:r>
            <a:endParaRPr lang="pl-PL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doch_wyd!$B$50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doch_wyd!$B$57:$B$61</c:f>
              <c:numCache>
                <c:formatCode>_-* #,##0\ _z_ł_-;\-* #,##0\ _z_ł_-;_-* "-"??\ _z_ł_-;_-@_-</c:formatCode>
                <c:ptCount val="5"/>
                <c:pt idx="0">
                  <c:v>7119769.6600000001</c:v>
                </c:pt>
                <c:pt idx="1">
                  <c:v>533198.75</c:v>
                </c:pt>
                <c:pt idx="2">
                  <c:v>440461</c:v>
                </c:pt>
                <c:pt idx="3">
                  <c:v>0</c:v>
                </c:pt>
                <c:pt idx="4">
                  <c:v>10543046.350000001</c:v>
                </c:pt>
              </c:numCache>
            </c:numRef>
          </c:val>
        </c:ser>
        <c:ser>
          <c:idx val="1"/>
          <c:order val="1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cat>
            <c:strRef>
              <c:f>doch_wyd!$A$57:$A$61</c:f>
              <c:strCache>
                <c:ptCount val="5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</c:strCache>
            </c:strRef>
          </c:cat>
          <c:val>
            <c:numRef>
              <c:f>doch_wyd!$D$57:$D$61</c:f>
              <c:numCache>
                <c:formatCode>_-* #,##0\ _z_ł_-;\-* #,##0\ _z_ł_-;_-* "-"??\ _z_ł_-;_-@_-</c:formatCode>
                <c:ptCount val="5"/>
                <c:pt idx="0">
                  <c:v>6751291.54</c:v>
                </c:pt>
                <c:pt idx="1">
                  <c:v>511982.76</c:v>
                </c:pt>
                <c:pt idx="2">
                  <c:v>440193.76</c:v>
                </c:pt>
                <c:pt idx="3">
                  <c:v>0</c:v>
                </c:pt>
                <c:pt idx="4">
                  <c:v>10021106.050000001</c:v>
                </c:pt>
              </c:numCache>
            </c:numRef>
          </c:val>
        </c:ser>
        <c:axId val="118565504"/>
        <c:axId val="118595968"/>
      </c:barChart>
      <c:catAx>
        <c:axId val="118565504"/>
        <c:scaling>
          <c:orientation val="minMax"/>
        </c:scaling>
        <c:axPos val="b"/>
        <c:numFmt formatCode="General" sourceLinked="1"/>
        <c:tickLblPos val="nextTo"/>
        <c:crossAx val="118595968"/>
        <c:crosses val="autoZero"/>
        <c:auto val="1"/>
        <c:lblAlgn val="ctr"/>
        <c:lblOffset val="100"/>
      </c:catAx>
      <c:valAx>
        <c:axId val="1185959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 złotych</a:t>
                </a:r>
              </a:p>
            </c:rich>
          </c:tx>
        </c:title>
        <c:numFmt formatCode="_-* #,##0\ _z_ł_-;\-* #,##0\ _z_ł_-;_-* &quot;-&quot;??\ _z_ł_-;_-@_-" sourceLinked="1"/>
        <c:tickLblPos val="nextTo"/>
        <c:crossAx val="1185655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w</a:t>
            </a:r>
            <a:r>
              <a:rPr lang="en-US"/>
              <a:t>ydatk</a:t>
            </a:r>
            <a:r>
              <a:rPr lang="pl-PL"/>
              <a:t>ów</a:t>
            </a:r>
            <a:r>
              <a:rPr lang="en-US"/>
              <a:t> </a:t>
            </a:r>
            <a:r>
              <a:rPr lang="pl-PL"/>
              <a:t>budżetowych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doch_wyd!$D$50</c:f>
              <c:strCache>
                <c:ptCount val="1"/>
                <c:pt idx="0">
                  <c:v>Wydatki
 wykonane</c:v>
                </c:pt>
              </c:strCache>
            </c:strRef>
          </c:tx>
          <c:explosion val="25"/>
          <c:dLbls>
            <c:numFmt formatCode="0.0%" sourceLinked="0"/>
            <c:showPercent val="1"/>
          </c:dLbls>
          <c:cat>
            <c:strRef>
              <c:f>doch_wyd!$A$57:$A$62</c:f>
              <c:strCache>
                <c:ptCount val="6"/>
                <c:pt idx="0">
                  <c:v>wynagrodzenia i pochodne od wynagrodzeń</c:v>
                </c:pt>
                <c:pt idx="1">
                  <c:v>dotacje</c:v>
                </c:pt>
                <c:pt idx="2">
                  <c:v>obsługa długu</c:v>
                </c:pt>
                <c:pt idx="3">
                  <c:v>poręczenia i gwarancje</c:v>
                </c:pt>
                <c:pt idx="4">
                  <c:v>pozostałe wydatki bieżące</c:v>
                </c:pt>
                <c:pt idx="5">
                  <c:v>Wydatki majątkowe      </c:v>
                </c:pt>
              </c:strCache>
            </c:strRef>
          </c:cat>
          <c:val>
            <c:numRef>
              <c:f>doch_wyd!$D$57:$D$62</c:f>
              <c:numCache>
                <c:formatCode>_-* #,##0\ _z_ł_-;\-* #,##0\ _z_ł_-;_-* "-"??\ _z_ł_-;_-@_-</c:formatCode>
                <c:ptCount val="6"/>
                <c:pt idx="0">
                  <c:v>6751291.54</c:v>
                </c:pt>
                <c:pt idx="1">
                  <c:v>511982.76</c:v>
                </c:pt>
                <c:pt idx="2">
                  <c:v>440193.76</c:v>
                </c:pt>
                <c:pt idx="3">
                  <c:v>0</c:v>
                </c:pt>
                <c:pt idx="4">
                  <c:v>10021106.050000001</c:v>
                </c:pt>
                <c:pt idx="5">
                  <c:v>830836.45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Struktura wykonania dochodów budżetowych</a:t>
            </a:r>
          </a:p>
        </c:rich>
      </c:tx>
    </c:title>
    <c:plotArea>
      <c:layout>
        <c:manualLayout>
          <c:layoutTarget val="inner"/>
          <c:xMode val="edge"/>
          <c:yMode val="edge"/>
          <c:x val="6.9588834476975822E-2"/>
          <c:y val="0.2156955380577428"/>
          <c:w val="0.5835708438146554"/>
          <c:h val="0.6596345649101556"/>
        </c:manualLayout>
      </c:layout>
      <c:pieChart>
        <c:varyColors val="1"/>
        <c:ser>
          <c:idx val="0"/>
          <c:order val="0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explosion val="25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Lbls>
            <c:numFmt formatCode="0.0%" sourceLinked="0"/>
            <c:dLblPos val="outEnd"/>
            <c:showPercent val="1"/>
            <c:showLeaderLines val="1"/>
          </c:dLbls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13600160.460000001</c:v>
                </c:pt>
                <c:pt idx="1">
                  <c:v>5560673.7399999993</c:v>
                </c:pt>
                <c:pt idx="2">
                  <c:v>3759973</c:v>
                </c:pt>
                <c:pt idx="3">
                  <c:v>436914.97</c:v>
                </c:pt>
                <c:pt idx="4">
                  <c:v>45000</c:v>
                </c:pt>
                <c:pt idx="5">
                  <c:v>12658.2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Dochody budżetowe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doch_wyd!$B$3</c:f>
              <c:strCache>
                <c:ptCount val="1"/>
                <c:pt idx="0">
                  <c:v>Plan 
(po zmianach)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(doch_wyd!$B$8,doch_wyd!$B$24,doch_wyd!$B$30,doch_wyd!$B$38,doch_wyd!$B$45,doch_wyd!$B$47)</c:f>
              <c:numCache>
                <c:formatCode>_-* #,##0\ _z_ł_-;\-* #,##0\ _z_ł_-;_-* "-"??\ _z_ł_-;_-@_-</c:formatCode>
                <c:ptCount val="6"/>
                <c:pt idx="0">
                  <c:v>10651740.000000002</c:v>
                </c:pt>
                <c:pt idx="1">
                  <c:v>5646850.7599999998</c:v>
                </c:pt>
                <c:pt idx="2">
                  <c:v>3759973</c:v>
                </c:pt>
                <c:pt idx="3">
                  <c:v>485982.11</c:v>
                </c:pt>
                <c:pt idx="4">
                  <c:v>99240</c:v>
                </c:pt>
                <c:pt idx="5">
                  <c:v>74356</c:v>
                </c:pt>
              </c:numCache>
            </c:numRef>
          </c:val>
        </c:ser>
        <c:ser>
          <c:idx val="1"/>
          <c:order val="1"/>
          <c:tx>
            <c:strRef>
              <c:f>doch_wyd!$C$3</c:f>
              <c:strCache>
                <c:ptCount val="1"/>
                <c:pt idx="0">
                  <c:v>Dochody 
wykonane
(wpływy minus zwroty)</c:v>
                </c:pt>
              </c:strCache>
            </c:strRef>
          </c:tx>
          <c:cat>
            <c:strRef>
              <c:f>(doch_wyd!$A$8,doch_wyd!$A$24,doch_wyd!$A$30,doch_wyd!$A$38,doch_wyd!$A$45,doch_wyd!$A$47)</c:f>
              <c:strCache>
                <c:ptCount val="6"/>
                <c:pt idx="0">
                  <c:v>Dochody własne</c:v>
                </c:pt>
                <c:pt idx="1">
                  <c:v>Dotacje celowe na zadania bieżące</c:v>
                </c:pt>
                <c:pt idx="2">
                  <c:v>Subwencja ogólna</c:v>
                </c:pt>
                <c:pt idx="3">
                  <c:v>Dotacje celowe na zadania inwestycyjne</c:v>
                </c:pt>
                <c:pt idx="4">
                  <c:v>Środki na inwestycje uzyskane z innych źródeł</c:v>
                </c:pt>
                <c:pt idx="5">
                  <c:v>Dochody ze sprzedaży majątku</c:v>
                </c:pt>
              </c:strCache>
            </c:strRef>
          </c:cat>
          <c:val>
            <c:numRef>
              <c:f>(doch_wyd!$C$8,doch_wyd!$C$24,doch_wyd!$C$30,doch_wyd!$C$38,doch_wyd!$C$45,doch_wyd!$C$47)</c:f>
              <c:numCache>
                <c:formatCode>_-* #,##0\ _z_ł_-;\-* #,##0\ _z_ł_-;_-* "-"??\ _z_ł_-;_-@_-</c:formatCode>
                <c:ptCount val="6"/>
                <c:pt idx="0">
                  <c:v>13600160.460000001</c:v>
                </c:pt>
                <c:pt idx="1">
                  <c:v>5560673.7399999993</c:v>
                </c:pt>
                <c:pt idx="2">
                  <c:v>3759973</c:v>
                </c:pt>
                <c:pt idx="3">
                  <c:v>436914.97</c:v>
                </c:pt>
                <c:pt idx="4">
                  <c:v>45000</c:v>
                </c:pt>
                <c:pt idx="5">
                  <c:v>12658.2</c:v>
                </c:pt>
              </c:numCache>
            </c:numRef>
          </c:val>
        </c:ser>
        <c:axId val="118141312"/>
        <c:axId val="118142848"/>
      </c:barChart>
      <c:catAx>
        <c:axId val="118141312"/>
        <c:scaling>
          <c:orientation val="minMax"/>
        </c:scaling>
        <c:axPos val="b"/>
        <c:numFmt formatCode="General" sourceLinked="1"/>
        <c:tickLblPos val="nextTo"/>
        <c:crossAx val="118142848"/>
        <c:crosses val="autoZero"/>
        <c:auto val="1"/>
        <c:lblAlgn val="ctr"/>
        <c:lblOffset val="100"/>
      </c:catAx>
      <c:valAx>
        <c:axId val="118142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</a:t>
                </a:r>
                <a:r>
                  <a:rPr lang="pl-PL" baseline="0"/>
                  <a:t> złotych</a:t>
                </a:r>
                <a:endParaRPr lang="pl-PL"/>
              </a:p>
            </c:rich>
          </c:tx>
        </c:title>
        <c:numFmt formatCode="_-* #,##0\ _z_ł_-;\-* #,##0\ _z_ł_-;_-* &quot;-&quot;??\ _z_ł_-;_-@_-" sourceLinked="1"/>
        <c:tickLblPos val="nextTo"/>
        <c:crossAx val="11814131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0</xdr:rowOff>
    </xdr:from>
    <xdr:to>
      <xdr:col>11</xdr:col>
      <xdr:colOff>390525</xdr:colOff>
      <xdr:row>28</xdr:row>
      <xdr:rowOff>28575</xdr:rowOff>
    </xdr:to>
    <xdr:graphicFrame macro="">
      <xdr:nvGraphicFramePr>
        <xdr:cNvPr id="411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152400</xdr:rowOff>
    </xdr:from>
    <xdr:to>
      <xdr:col>21</xdr:col>
      <xdr:colOff>266700</xdr:colOff>
      <xdr:row>27</xdr:row>
      <xdr:rowOff>57150</xdr:rowOff>
    </xdr:to>
    <xdr:graphicFrame macro="">
      <xdr:nvGraphicFramePr>
        <xdr:cNvPr id="41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29</xdr:row>
      <xdr:rowOff>114300</xdr:rowOff>
    </xdr:from>
    <xdr:to>
      <xdr:col>21</xdr:col>
      <xdr:colOff>85725</xdr:colOff>
      <xdr:row>58</xdr:row>
      <xdr:rowOff>95250</xdr:rowOff>
    </xdr:to>
    <xdr:graphicFrame macro="">
      <xdr:nvGraphicFramePr>
        <xdr:cNvPr id="411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29</xdr:row>
      <xdr:rowOff>104775</xdr:rowOff>
    </xdr:from>
    <xdr:to>
      <xdr:col>11</xdr:col>
      <xdr:colOff>409575</xdr:colOff>
      <xdr:row>54</xdr:row>
      <xdr:rowOff>133350</xdr:rowOff>
    </xdr:to>
    <xdr:graphicFrame macro="">
      <xdr:nvGraphicFramePr>
        <xdr:cNvPr id="411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C4"/>
  <sheetViews>
    <sheetView workbookViewId="0">
      <selection activeCell="B5" sqref="B5"/>
    </sheetView>
  </sheetViews>
  <sheetFormatPr defaultRowHeight="12.75"/>
  <cols>
    <col min="1" max="4" width="19.5703125" customWidth="1"/>
  </cols>
  <sheetData>
    <row r="1" spans="1:3" s="1" customFormat="1">
      <c r="A1" s="29" t="s">
        <v>125</v>
      </c>
      <c r="B1" s="29">
        <f>4</f>
        <v>4</v>
      </c>
      <c r="C1" s="29" t="str">
        <f>IF(B1="1","I Kwartał",IF(B1="2","II Kwartały",IF(B1="3","III Kwartały",IF(B1="4","IV Kwartały","-"))))</f>
        <v>-</v>
      </c>
    </row>
    <row r="2" spans="1:3" s="1" customFormat="1">
      <c r="A2" s="29" t="s">
        <v>126</v>
      </c>
      <c r="B2" s="29">
        <f>2019</f>
        <v>2019</v>
      </c>
    </row>
    <row r="3" spans="1:3" s="1" customFormat="1">
      <c r="A3" s="29" t="s">
        <v>127</v>
      </c>
      <c r="B3" s="30" t="str">
        <f>"Feb 27 2020 12:00AM"</f>
        <v>Feb 27 2020 12:00AM</v>
      </c>
    </row>
    <row r="4" spans="1:3" s="1" customFormat="1">
      <c r="A4" s="29" t="s">
        <v>212</v>
      </c>
      <c r="B4" s="97" t="str">
        <f>B2&amp;B1</f>
        <v>20194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outlinePr summaryBelow="0"/>
  </sheetPr>
  <dimension ref="A1:Z89"/>
  <sheetViews>
    <sheetView tabSelected="1" zoomScale="92" zoomScaleNormal="92" zoomScaleSheetLayoutView="85" workbookViewId="0">
      <selection activeCell="D44" sqref="D44"/>
    </sheetView>
  </sheetViews>
  <sheetFormatPr defaultRowHeight="12.75" outlineLevelRow="3"/>
  <cols>
    <col min="1" max="1" width="42.85546875" style="1" customWidth="1"/>
    <col min="2" max="4" width="16.7109375" style="1" customWidth="1"/>
    <col min="5" max="5" width="13.85546875" style="1" customWidth="1"/>
    <col min="6" max="9" width="13" style="1" customWidth="1"/>
    <col min="10" max="12" width="8.42578125" style="1" customWidth="1"/>
    <col min="13" max="14" width="9.140625" style="1"/>
    <col min="15" max="17" width="9.140625" style="1" hidden="1" customWidth="1"/>
    <col min="18" max="18" width="34.42578125" style="1" hidden="1" customWidth="1"/>
    <col min="19" max="19" width="16.5703125" style="1" hidden="1" customWidth="1"/>
    <col min="20" max="16384" width="9.140625" style="1"/>
  </cols>
  <sheetData>
    <row r="1" spans="1:19" ht="23.2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O1" s="102" t="s">
        <v>201</v>
      </c>
      <c r="P1" s="102"/>
      <c r="Q1" s="102"/>
      <c r="R1" s="43" t="str">
        <f>"RYMAŃ"</f>
        <v>RYMAŃ</v>
      </c>
    </row>
    <row r="2" spans="1:19" ht="51" customHeight="1" thickBot="1">
      <c r="A2" s="124" t="s">
        <v>238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O2" s="58"/>
      <c r="P2" s="58"/>
      <c r="Q2" s="58"/>
      <c r="R2" s="42" t="str">
        <f>CONCATENATE("Informacja z wykonania budżetu jednostki samorządu terytorialnego "," za ",$C$69," ",$B$70," roku")</f>
        <v>Informacja z wykonania budżetu jednostki samorządu terytorialnego  za IV kwartały 2019 roku</v>
      </c>
    </row>
    <row r="3" spans="1:19" ht="54.75" customHeight="1">
      <c r="A3" s="118" t="s">
        <v>0</v>
      </c>
      <c r="B3" s="59" t="s">
        <v>167</v>
      </c>
      <c r="C3" s="59" t="s">
        <v>168</v>
      </c>
      <c r="D3" s="59" t="s">
        <v>169</v>
      </c>
      <c r="E3" s="59" t="s">
        <v>170</v>
      </c>
      <c r="F3" s="59" t="s">
        <v>171</v>
      </c>
      <c r="G3" s="59" t="s">
        <v>172</v>
      </c>
      <c r="H3" s="59" t="s">
        <v>173</v>
      </c>
      <c r="I3" s="59" t="s">
        <v>174</v>
      </c>
      <c r="J3" s="60" t="s">
        <v>1</v>
      </c>
      <c r="K3" s="59" t="s">
        <v>47</v>
      </c>
      <c r="L3" s="61" t="s">
        <v>166</v>
      </c>
      <c r="Q3" s="1" t="s">
        <v>177</v>
      </c>
      <c r="R3" s="42" t="str">
        <f>IF(D73=1,CONCATENATE(R14," ",R1),"Zbiorczo wg wybranych JST")</f>
        <v>gmina wiejska RYMAŃ</v>
      </c>
      <c r="S3" s="42" t="s">
        <v>200</v>
      </c>
    </row>
    <row r="4" spans="1:19" ht="12.75" customHeight="1">
      <c r="A4" s="119"/>
      <c r="B4" s="120" t="s">
        <v>181</v>
      </c>
      <c r="C4" s="120"/>
      <c r="D4" s="120"/>
      <c r="E4" s="120"/>
      <c r="F4" s="120"/>
      <c r="G4" s="120"/>
      <c r="H4" s="120"/>
      <c r="I4" s="120"/>
      <c r="J4" s="120" t="s">
        <v>2</v>
      </c>
      <c r="K4" s="120"/>
      <c r="L4" s="121"/>
      <c r="Q4" s="1" t="s">
        <v>186</v>
      </c>
      <c r="R4" s="42" t="str">
        <f>CONCATENATE("Informacja z wykonania budżetów ",S4," za ",$C$69," ",$B$70," roku")</f>
        <v>Informacja z wykonania budżetów gmin za IV kwartały 2019 roku</v>
      </c>
      <c r="S4" s="42" t="s">
        <v>182</v>
      </c>
    </row>
    <row r="5" spans="1:19" ht="11.25" customHeight="1" thickBot="1">
      <c r="A5" s="75">
        <v>1</v>
      </c>
      <c r="B5" s="76">
        <v>2</v>
      </c>
      <c r="C5" s="76">
        <v>3</v>
      </c>
      <c r="D5" s="76">
        <v>4</v>
      </c>
      <c r="E5" s="77">
        <v>5</v>
      </c>
      <c r="F5" s="76">
        <v>6</v>
      </c>
      <c r="G5" s="77">
        <v>7</v>
      </c>
      <c r="H5" s="76">
        <v>8</v>
      </c>
      <c r="I5" s="77">
        <v>9</v>
      </c>
      <c r="J5" s="76">
        <v>10</v>
      </c>
      <c r="K5" s="77">
        <v>11</v>
      </c>
      <c r="L5" s="78">
        <v>12</v>
      </c>
      <c r="Q5" s="1" t="s">
        <v>109</v>
      </c>
      <c r="R5" s="42" t="str">
        <f>CONCATENATE("Informacja z wykonania budżetów ",S5," za ",$C$69," ",$B$70," roku")</f>
        <v>Informacja z wykonania budżetów powiatów za IV kwartały 2019 roku</v>
      </c>
      <c r="S5" s="42" t="s">
        <v>183</v>
      </c>
    </row>
    <row r="6" spans="1:19" s="4" customFormat="1" ht="26.25" customHeight="1">
      <c r="A6" s="71" t="s">
        <v>156</v>
      </c>
      <c r="B6" s="72">
        <f>20718141.87</f>
        <v>20718141.870000001</v>
      </c>
      <c r="C6" s="72">
        <f>23415380.37</f>
        <v>23415380.370000001</v>
      </c>
      <c r="D6" s="72">
        <f>23436938.37</f>
        <v>23436938.370000001</v>
      </c>
      <c r="E6" s="72">
        <f>290092</f>
        <v>290092</v>
      </c>
      <c r="F6" s="72">
        <f>3390</f>
        <v>3390</v>
      </c>
      <c r="G6" s="72">
        <f>787</f>
        <v>787</v>
      </c>
      <c r="H6" s="72">
        <f>0</f>
        <v>0</v>
      </c>
      <c r="I6" s="72">
        <f>0</f>
        <v>0</v>
      </c>
      <c r="J6" s="73">
        <f t="shared" ref="J6:J38" si="0">IF($C$6=0,"",100*$C6/$C$6)</f>
        <v>100</v>
      </c>
      <c r="K6" s="73">
        <f>IF(B6=0,"",100*C6/B6)</f>
        <v>113.01872782281512</v>
      </c>
      <c r="L6" s="74"/>
      <c r="Q6" s="4" t="s">
        <v>187</v>
      </c>
      <c r="R6" s="42" t="str">
        <f>CONCATENATE("Informacja z wykonania budżetów ",S6," za ",$C$69," ",$B$70," roku")</f>
        <v>Informacja z wykonania budżetów miast na prawach powiatu za IV kwartały 2019 roku</v>
      </c>
      <c r="S6" s="42" t="s">
        <v>184</v>
      </c>
    </row>
    <row r="7" spans="1:19" s="4" customFormat="1" ht="26.25" customHeight="1" outlineLevel="1">
      <c r="A7" s="63" t="s">
        <v>230</v>
      </c>
      <c r="B7" s="44">
        <f t="shared" ref="B7:I7" si="1">B6-B37</f>
        <v>20058563.760000002</v>
      </c>
      <c r="C7" s="44">
        <f t="shared" si="1"/>
        <v>22920807.199999999</v>
      </c>
      <c r="D7" s="44">
        <f t="shared" si="1"/>
        <v>22942362.199999999</v>
      </c>
      <c r="E7" s="44">
        <f t="shared" si="1"/>
        <v>290092</v>
      </c>
      <c r="F7" s="44">
        <f t="shared" si="1"/>
        <v>3390</v>
      </c>
      <c r="G7" s="44">
        <f t="shared" si="1"/>
        <v>787</v>
      </c>
      <c r="H7" s="44">
        <f t="shared" si="1"/>
        <v>0</v>
      </c>
      <c r="I7" s="44">
        <f t="shared" si="1"/>
        <v>0</v>
      </c>
      <c r="J7" s="45">
        <f t="shared" si="0"/>
        <v>97.887827734655758</v>
      </c>
      <c r="K7" s="45">
        <f>IF(B7=0,"",100*C7/B7)</f>
        <v>114.26943361571965</v>
      </c>
      <c r="L7" s="62">
        <f t="shared" ref="L7:L36" si="2">IF($C$7=0,"",100*$C7/$C$7)</f>
        <v>100</v>
      </c>
      <c r="Q7" s="4" t="s">
        <v>110</v>
      </c>
      <c r="R7" s="42" t="str">
        <f>CONCATENATE("Informacja z wykonania budżetów ",S7," za ",$C$69," ",$B$70," roku")</f>
        <v>Informacja z wykonania budżetów województw za IV kwartały 2019 roku</v>
      </c>
      <c r="S7" s="42" t="s">
        <v>185</v>
      </c>
    </row>
    <row r="8" spans="1:19" s="4" customFormat="1" ht="26.25" customHeight="1" outlineLevel="2">
      <c r="A8" s="64" t="s">
        <v>231</v>
      </c>
      <c r="B8" s="44">
        <f>B7-B24-B30</f>
        <v>10651740.000000002</v>
      </c>
      <c r="C8" s="44">
        <f>C7-C24-C30</f>
        <v>13600160.460000001</v>
      </c>
      <c r="D8" s="44">
        <f>D7-D24-D30</f>
        <v>13595092.98</v>
      </c>
      <c r="E8" s="44">
        <f>E7</f>
        <v>290092</v>
      </c>
      <c r="F8" s="44">
        <f>F7</f>
        <v>3390</v>
      </c>
      <c r="G8" s="44">
        <f>G7</f>
        <v>787</v>
      </c>
      <c r="H8" s="44">
        <f>H7</f>
        <v>0</v>
      </c>
      <c r="I8" s="44">
        <f>I7</f>
        <v>0</v>
      </c>
      <c r="J8" s="45">
        <f t="shared" si="0"/>
        <v>58.082167554385109</v>
      </c>
      <c r="K8" s="45">
        <f t="shared" ref="K8:K23" si="3">IF(B8=0,"",100*C8/B8)</f>
        <v>127.6801767598533</v>
      </c>
      <c r="L8" s="62">
        <f t="shared" si="2"/>
        <v>59.335434137764572</v>
      </c>
    </row>
    <row r="9" spans="1:19" s="4" customFormat="1" ht="25.5" customHeight="1" outlineLevel="3">
      <c r="A9" s="65" t="s">
        <v>50</v>
      </c>
      <c r="B9" s="46">
        <f>2143975</f>
        <v>2143975</v>
      </c>
      <c r="C9" s="46">
        <f>2164268</f>
        <v>2164268</v>
      </c>
      <c r="D9" s="46">
        <f>2159204</f>
        <v>2159204</v>
      </c>
      <c r="E9" s="46">
        <f>0</f>
        <v>0</v>
      </c>
      <c r="F9" s="46">
        <f>0</f>
        <v>0</v>
      </c>
      <c r="G9" s="46">
        <f>0</f>
        <v>0</v>
      </c>
      <c r="H9" s="46">
        <f>0</f>
        <v>0</v>
      </c>
      <c r="I9" s="46">
        <f>0</f>
        <v>0</v>
      </c>
      <c r="J9" s="47">
        <f t="shared" si="0"/>
        <v>9.2429333446698134</v>
      </c>
      <c r="K9" s="47">
        <f t="shared" si="3"/>
        <v>100.9465129024359</v>
      </c>
      <c r="L9" s="66">
        <f t="shared" si="2"/>
        <v>9.4423725181894991</v>
      </c>
      <c r="R9"/>
    </row>
    <row r="10" spans="1:19" s="4" customFormat="1" ht="25.5" customHeight="1" outlineLevel="3">
      <c r="A10" s="65" t="s">
        <v>72</v>
      </c>
      <c r="B10" s="46">
        <f>40000</f>
        <v>40000</v>
      </c>
      <c r="C10" s="46">
        <f>53325.99</f>
        <v>53325.99</v>
      </c>
      <c r="D10" s="46">
        <f>53325.99</f>
        <v>53325.99</v>
      </c>
      <c r="E10" s="46">
        <f>0</f>
        <v>0</v>
      </c>
      <c r="F10" s="46">
        <f>0</f>
        <v>0</v>
      </c>
      <c r="G10" s="46">
        <f>0</f>
        <v>0</v>
      </c>
      <c r="H10" s="46">
        <f>0</f>
        <v>0</v>
      </c>
      <c r="I10" s="46">
        <f>0</f>
        <v>0</v>
      </c>
      <c r="J10" s="47">
        <f t="shared" si="0"/>
        <v>0.22773915758516461</v>
      </c>
      <c r="K10" s="47">
        <f t="shared" si="3"/>
        <v>133.314975</v>
      </c>
      <c r="L10" s="66">
        <f t="shared" si="2"/>
        <v>0.23265319381945676</v>
      </c>
      <c r="O10" s="55"/>
      <c r="P10" s="55"/>
      <c r="Q10" s="55" t="s">
        <v>203</v>
      </c>
      <c r="R10" s="54">
        <f>2</f>
        <v>2</v>
      </c>
    </row>
    <row r="11" spans="1:19" s="4" customFormat="1" ht="25.5" customHeight="1" outlineLevel="3">
      <c r="A11" s="65" t="s">
        <v>51</v>
      </c>
      <c r="B11" s="46">
        <f>614885</f>
        <v>614885</v>
      </c>
      <c r="C11" s="46">
        <f>611984.8</f>
        <v>611984.80000000005</v>
      </c>
      <c r="D11" s="46">
        <f>611984.8</f>
        <v>611984.80000000005</v>
      </c>
      <c r="E11" s="46">
        <f>0</f>
        <v>0</v>
      </c>
      <c r="F11" s="46">
        <f>0</f>
        <v>0</v>
      </c>
      <c r="G11" s="46">
        <f>149</f>
        <v>149</v>
      </c>
      <c r="H11" s="46">
        <f>0</f>
        <v>0</v>
      </c>
      <c r="I11" s="46">
        <f>0</f>
        <v>0</v>
      </c>
      <c r="J11" s="47">
        <f t="shared" si="0"/>
        <v>2.6136017879260276</v>
      </c>
      <c r="K11" s="47">
        <f t="shared" si="3"/>
        <v>99.528334566626299</v>
      </c>
      <c r="L11" s="66">
        <f t="shared" si="2"/>
        <v>2.6699967180911504</v>
      </c>
      <c r="Q11" s="55" t="s">
        <v>202</v>
      </c>
      <c r="R11" s="4">
        <f>0</f>
        <v>0</v>
      </c>
    </row>
    <row r="12" spans="1:19" s="4" customFormat="1" ht="25.5" customHeight="1" outlineLevel="3">
      <c r="A12" s="65" t="s">
        <v>52</v>
      </c>
      <c r="B12" s="46">
        <f>4772866</f>
        <v>4772866</v>
      </c>
      <c r="C12" s="48">
        <f>4736566.51</f>
        <v>4736566.51</v>
      </c>
      <c r="D12" s="46">
        <f>4736566.51</f>
        <v>4736566.51</v>
      </c>
      <c r="E12" s="46">
        <f>255489</f>
        <v>255489</v>
      </c>
      <c r="F12" s="46">
        <f>3390</f>
        <v>3390</v>
      </c>
      <c r="G12" s="46">
        <f>570</f>
        <v>570</v>
      </c>
      <c r="H12" s="46">
        <f>0</f>
        <v>0</v>
      </c>
      <c r="I12" s="46">
        <f>0</f>
        <v>0</v>
      </c>
      <c r="J12" s="47">
        <f t="shared" si="0"/>
        <v>20.228441456661248</v>
      </c>
      <c r="K12" s="47">
        <f t="shared" si="3"/>
        <v>99.239461363465892</v>
      </c>
      <c r="L12" s="66">
        <f t="shared" si="2"/>
        <v>20.664920169129122</v>
      </c>
      <c r="Q12" s="4" t="s">
        <v>204</v>
      </c>
      <c r="R12" s="4" t="str">
        <f>R10&amp;R11</f>
        <v>20</v>
      </c>
    </row>
    <row r="13" spans="1:19" s="4" customFormat="1" ht="25.5" customHeight="1" outlineLevel="3">
      <c r="A13" s="65" t="s">
        <v>53</v>
      </c>
      <c r="B13" s="46">
        <f>189149</f>
        <v>189149</v>
      </c>
      <c r="C13" s="48">
        <f>188372.58</f>
        <v>188372.58</v>
      </c>
      <c r="D13" s="46">
        <f>188372.58</f>
        <v>188372.58</v>
      </c>
      <c r="E13" s="46">
        <f>0</f>
        <v>0</v>
      </c>
      <c r="F13" s="46">
        <f>0</f>
        <v>0</v>
      </c>
      <c r="G13" s="46">
        <f>0</f>
        <v>0</v>
      </c>
      <c r="H13" s="46">
        <f>0</f>
        <v>0</v>
      </c>
      <c r="I13" s="46">
        <f>0</f>
        <v>0</v>
      </c>
      <c r="J13" s="47">
        <f t="shared" si="0"/>
        <v>0.8044822549256756</v>
      </c>
      <c r="K13" s="47">
        <f t="shared" si="3"/>
        <v>99.589519373615516</v>
      </c>
      <c r="L13" s="66">
        <f t="shared" si="2"/>
        <v>0.82184095156997794</v>
      </c>
      <c r="Q13" s="4" t="s">
        <v>211</v>
      </c>
      <c r="R13" s="56">
        <f>IF(R12="Z8",8,R12*10)</f>
        <v>200</v>
      </c>
    </row>
    <row r="14" spans="1:19" s="4" customFormat="1" ht="25.5" customHeight="1" outlineLevel="3">
      <c r="A14" s="65" t="s">
        <v>54</v>
      </c>
      <c r="B14" s="46">
        <f>29318</f>
        <v>29318</v>
      </c>
      <c r="C14" s="48">
        <f>36912.35</f>
        <v>36912.35</v>
      </c>
      <c r="D14" s="46">
        <f>36912.35</f>
        <v>36912.35</v>
      </c>
      <c r="E14" s="46">
        <f>34603</f>
        <v>34603</v>
      </c>
      <c r="F14" s="46">
        <f>0</f>
        <v>0</v>
      </c>
      <c r="G14" s="46">
        <f>0</f>
        <v>0</v>
      </c>
      <c r="H14" s="46">
        <f>0</f>
        <v>0</v>
      </c>
      <c r="I14" s="46">
        <f>0</f>
        <v>0</v>
      </c>
      <c r="J14" s="47">
        <f t="shared" si="0"/>
        <v>0.15764147076291973</v>
      </c>
      <c r="K14" s="47">
        <f t="shared" si="3"/>
        <v>125.90336994337949</v>
      </c>
      <c r="L14" s="66">
        <f t="shared" si="2"/>
        <v>0.16104297583376559</v>
      </c>
      <c r="R14" s="57" t="str">
        <f>IF(R13=0,"samorząd województwa -",IF(R13=10,"powiat",IF(R13=20,"miasto na prawach powiatu -",IF(R13=100,"gmina miejska",IF(R13=200,"gmina wiejska",IF(R13=300,"gmina miejsko-wiejska",IF(R13=8,"","")))))))</f>
        <v>gmina wiejska</v>
      </c>
    </row>
    <row r="15" spans="1:19" s="4" customFormat="1" ht="25.5" customHeight="1" outlineLevel="3">
      <c r="A15" s="65" t="s">
        <v>83</v>
      </c>
      <c r="B15" s="46">
        <f>500</f>
        <v>500</v>
      </c>
      <c r="C15" s="48">
        <f>1661.15</f>
        <v>1661.15</v>
      </c>
      <c r="D15" s="46">
        <f>1661.15</f>
        <v>1661.15</v>
      </c>
      <c r="E15" s="46">
        <f>0</f>
        <v>0</v>
      </c>
      <c r="F15" s="46">
        <f>0</f>
        <v>0</v>
      </c>
      <c r="G15" s="46">
        <f>0</f>
        <v>0</v>
      </c>
      <c r="H15" s="46">
        <f>0</f>
        <v>0</v>
      </c>
      <c r="I15" s="46">
        <f>0</f>
        <v>0</v>
      </c>
      <c r="J15" s="47">
        <f t="shared" si="0"/>
        <v>7.0942686975449714E-3</v>
      </c>
      <c r="K15" s="47">
        <f t="shared" si="3"/>
        <v>332.23</v>
      </c>
      <c r="L15" s="66">
        <f t="shared" si="2"/>
        <v>7.2473451109522878E-3</v>
      </c>
      <c r="Q15" s="96">
        <v>0</v>
      </c>
      <c r="R15" s="4" t="s">
        <v>205</v>
      </c>
    </row>
    <row r="16" spans="1:19" s="4" customFormat="1" ht="25.5" customHeight="1" outlineLevel="3">
      <c r="A16" s="65" t="s">
        <v>60</v>
      </c>
      <c r="B16" s="46">
        <f>3000</f>
        <v>3000</v>
      </c>
      <c r="C16" s="48">
        <f>25698.6</f>
        <v>25698.6</v>
      </c>
      <c r="D16" s="46">
        <f>25698.6</f>
        <v>25698.6</v>
      </c>
      <c r="E16" s="46">
        <f>0</f>
        <v>0</v>
      </c>
      <c r="F16" s="46">
        <f>0</f>
        <v>0</v>
      </c>
      <c r="G16" s="46">
        <f>0</f>
        <v>0</v>
      </c>
      <c r="H16" s="46">
        <f>0</f>
        <v>0</v>
      </c>
      <c r="I16" s="46">
        <f>0</f>
        <v>0</v>
      </c>
      <c r="J16" s="47">
        <f t="shared" si="0"/>
        <v>0.10975093974098017</v>
      </c>
      <c r="K16" s="47">
        <f t="shared" si="3"/>
        <v>856.62</v>
      </c>
      <c r="L16" s="66">
        <f t="shared" si="2"/>
        <v>0.11211908802234505</v>
      </c>
      <c r="Q16" s="96">
        <v>10</v>
      </c>
      <c r="R16" s="4" t="s">
        <v>206</v>
      </c>
    </row>
    <row r="17" spans="1:18" s="4" customFormat="1" ht="25.5" customHeight="1" outlineLevel="3">
      <c r="A17" s="65" t="s">
        <v>61</v>
      </c>
      <c r="B17" s="46">
        <f>84780</f>
        <v>84780</v>
      </c>
      <c r="C17" s="48">
        <f>125614.03</f>
        <v>125614.03</v>
      </c>
      <c r="D17" s="46">
        <f>125614.03</f>
        <v>125614.03</v>
      </c>
      <c r="E17" s="46">
        <f>0</f>
        <v>0</v>
      </c>
      <c r="F17" s="46">
        <f>0</f>
        <v>0</v>
      </c>
      <c r="G17" s="46">
        <f>0</f>
        <v>0</v>
      </c>
      <c r="H17" s="46">
        <f>0</f>
        <v>0</v>
      </c>
      <c r="I17" s="46">
        <f>0</f>
        <v>0</v>
      </c>
      <c r="J17" s="47">
        <f t="shared" si="0"/>
        <v>0.53645948951116695</v>
      </c>
      <c r="K17" s="47">
        <f t="shared" si="3"/>
        <v>148.16469686246757</v>
      </c>
      <c r="L17" s="66">
        <f t="shared" si="2"/>
        <v>0.54803493133522807</v>
      </c>
      <c r="Q17" s="96">
        <v>20</v>
      </c>
      <c r="R17" s="4" t="s">
        <v>207</v>
      </c>
    </row>
    <row r="18" spans="1:18" s="4" customFormat="1" ht="25.5" customHeight="1" outlineLevel="3">
      <c r="A18" s="65" t="s">
        <v>62</v>
      </c>
      <c r="B18" s="46">
        <f>14000</f>
        <v>14000</v>
      </c>
      <c r="C18" s="48">
        <f>11194.68</f>
        <v>11194.68</v>
      </c>
      <c r="D18" s="46">
        <f>11194.68</f>
        <v>11194.68</v>
      </c>
      <c r="E18" s="46">
        <f>0</f>
        <v>0</v>
      </c>
      <c r="F18" s="46">
        <f>0</f>
        <v>0</v>
      </c>
      <c r="G18" s="46">
        <f>0</f>
        <v>0</v>
      </c>
      <c r="H18" s="46">
        <f>0</f>
        <v>0</v>
      </c>
      <c r="I18" s="46">
        <f>0</f>
        <v>0</v>
      </c>
      <c r="J18" s="47">
        <f t="shared" si="0"/>
        <v>4.7809088825833151E-2</v>
      </c>
      <c r="K18" s="47">
        <f t="shared" si="3"/>
        <v>79.962000000000003</v>
      </c>
      <c r="L18" s="66">
        <f t="shared" si="2"/>
        <v>4.8840688298272497E-2</v>
      </c>
      <c r="Q18" s="96">
        <v>100</v>
      </c>
      <c r="R18" s="4" t="s">
        <v>208</v>
      </c>
    </row>
    <row r="19" spans="1:18" s="4" customFormat="1" ht="25.5" customHeight="1" outlineLevel="3">
      <c r="A19" s="65" t="s">
        <v>63</v>
      </c>
      <c r="B19" s="46">
        <f>200000</f>
        <v>200000</v>
      </c>
      <c r="C19" s="48">
        <f>140246.3</f>
        <v>140246.29999999999</v>
      </c>
      <c r="D19" s="46">
        <f>140246.3</f>
        <v>140246.29999999999</v>
      </c>
      <c r="E19" s="46">
        <f>0</f>
        <v>0</v>
      </c>
      <c r="F19" s="46">
        <f>0</f>
        <v>0</v>
      </c>
      <c r="G19" s="46">
        <f>0</f>
        <v>0</v>
      </c>
      <c r="H19" s="46">
        <f>0</f>
        <v>0</v>
      </c>
      <c r="I19" s="46">
        <f>0</f>
        <v>0</v>
      </c>
      <c r="J19" s="47">
        <f t="shared" si="0"/>
        <v>0.59894948441531537</v>
      </c>
      <c r="K19" s="47">
        <f t="shared" si="3"/>
        <v>70.123149999999995</v>
      </c>
      <c r="L19" s="66">
        <f t="shared" si="2"/>
        <v>0.6118733026121348</v>
      </c>
      <c r="Q19" s="96">
        <v>200</v>
      </c>
      <c r="R19" s="4" t="s">
        <v>209</v>
      </c>
    </row>
    <row r="20" spans="1:18" s="4" customFormat="1" ht="25.5" customHeight="1" outlineLevel="3">
      <c r="A20" s="65" t="s">
        <v>64</v>
      </c>
      <c r="B20" s="46">
        <f>6000</f>
        <v>6000</v>
      </c>
      <c r="C20" s="48">
        <f>3816</f>
        <v>3816</v>
      </c>
      <c r="D20" s="46">
        <f>3816</f>
        <v>3816</v>
      </c>
      <c r="E20" s="46">
        <f>0</f>
        <v>0</v>
      </c>
      <c r="F20" s="46">
        <f>0</f>
        <v>0</v>
      </c>
      <c r="G20" s="46">
        <f>0</f>
        <v>0</v>
      </c>
      <c r="H20" s="46">
        <f>0</f>
        <v>0</v>
      </c>
      <c r="I20" s="46">
        <f>0</f>
        <v>0</v>
      </c>
      <c r="J20" s="47">
        <f t="shared" si="0"/>
        <v>1.6296980615737058E-2</v>
      </c>
      <c r="K20" s="47">
        <f t="shared" si="3"/>
        <v>63.6</v>
      </c>
      <c r="L20" s="66">
        <f t="shared" si="2"/>
        <v>1.6648628325794741E-2</v>
      </c>
      <c r="Q20" s="96">
        <v>300</v>
      </c>
      <c r="R20" s="4" t="s">
        <v>210</v>
      </c>
    </row>
    <row r="21" spans="1:18" s="4" customFormat="1" ht="25.5" customHeight="1" outlineLevel="3">
      <c r="A21" s="65" t="s">
        <v>154</v>
      </c>
      <c r="B21" s="46">
        <f>0</f>
        <v>0</v>
      </c>
      <c r="C21" s="48">
        <f>0</f>
        <v>0</v>
      </c>
      <c r="D21" s="46">
        <f>0</f>
        <v>0</v>
      </c>
      <c r="E21" s="46">
        <f>0</f>
        <v>0</v>
      </c>
      <c r="F21" s="46">
        <f>0</f>
        <v>0</v>
      </c>
      <c r="G21" s="46">
        <f>0</f>
        <v>0</v>
      </c>
      <c r="H21" s="46">
        <f>0</f>
        <v>0</v>
      </c>
      <c r="I21" s="46">
        <f>0</f>
        <v>0</v>
      </c>
      <c r="J21" s="47">
        <f t="shared" si="0"/>
        <v>0</v>
      </c>
      <c r="K21" s="47" t="str">
        <f t="shared" si="3"/>
        <v/>
      </c>
      <c r="L21" s="66">
        <f t="shared" si="2"/>
        <v>0</v>
      </c>
    </row>
    <row r="22" spans="1:18" s="4" customFormat="1" ht="25.5" customHeight="1" outlineLevel="3">
      <c r="A22" s="65" t="s">
        <v>152</v>
      </c>
      <c r="B22" s="46">
        <f>148600</f>
        <v>148600</v>
      </c>
      <c r="C22" s="48">
        <f>136925.66</f>
        <v>136925.66</v>
      </c>
      <c r="D22" s="46">
        <f>136925.66</f>
        <v>136925.66</v>
      </c>
      <c r="E22" s="46">
        <f>0</f>
        <v>0</v>
      </c>
      <c r="F22" s="46">
        <f>0</f>
        <v>0</v>
      </c>
      <c r="G22" s="46">
        <f>0</f>
        <v>0</v>
      </c>
      <c r="H22" s="46">
        <f>0</f>
        <v>0</v>
      </c>
      <c r="I22" s="46">
        <f>0</f>
        <v>0</v>
      </c>
      <c r="J22" s="47">
        <f t="shared" si="0"/>
        <v>0.58476803637762131</v>
      </c>
      <c r="K22" s="47">
        <f t="shared" si="3"/>
        <v>92.143781965006724</v>
      </c>
      <c r="L22" s="66">
        <f t="shared" si="2"/>
        <v>0.59738585471806593</v>
      </c>
    </row>
    <row r="23" spans="1:18" s="4" customFormat="1" ht="25.5" customHeight="1" outlineLevel="3" thickBot="1">
      <c r="A23" s="67" t="s">
        <v>56</v>
      </c>
      <c r="B23" s="68">
        <f>B8-SUM(B9:B22)</f>
        <v>2404667.0000000019</v>
      </c>
      <c r="C23" s="68">
        <f t="shared" ref="C23:I23" si="4">C8-SUM(C9:C22)</f>
        <v>5363573.8100000015</v>
      </c>
      <c r="D23" s="68">
        <f t="shared" si="4"/>
        <v>5363570.330000001</v>
      </c>
      <c r="E23" s="68">
        <f t="shared" si="4"/>
        <v>0</v>
      </c>
      <c r="F23" s="68">
        <f t="shared" si="4"/>
        <v>0</v>
      </c>
      <c r="G23" s="68">
        <f t="shared" si="4"/>
        <v>68</v>
      </c>
      <c r="H23" s="68">
        <f t="shared" si="4"/>
        <v>0</v>
      </c>
      <c r="I23" s="68">
        <f t="shared" si="4"/>
        <v>0</v>
      </c>
      <c r="J23" s="69">
        <f t="shared" si="0"/>
        <v>22.906199793670066</v>
      </c>
      <c r="K23" s="69">
        <f t="shared" si="3"/>
        <v>223.04850567666946</v>
      </c>
      <c r="L23" s="70">
        <f t="shared" si="2"/>
        <v>23.400457772708812</v>
      </c>
    </row>
    <row r="24" spans="1:18" s="4" customFormat="1" ht="26.25" customHeight="1" outlineLevel="2">
      <c r="A24" s="95" t="s">
        <v>232</v>
      </c>
      <c r="B24" s="72">
        <f>B25+B26+B27+B28+B29</f>
        <v>5646850.7599999998</v>
      </c>
      <c r="C24" s="72">
        <f>C25+C26+C27+C28+C29</f>
        <v>5560673.7399999993</v>
      </c>
      <c r="D24" s="72">
        <f>D25+D26+D27+D28+D29</f>
        <v>5560674.2199999997</v>
      </c>
      <c r="E24" s="86" t="s">
        <v>119</v>
      </c>
      <c r="F24" s="86" t="s">
        <v>119</v>
      </c>
      <c r="G24" s="86" t="s">
        <v>119</v>
      </c>
      <c r="H24" s="86" t="s">
        <v>119</v>
      </c>
      <c r="I24" s="86" t="s">
        <v>119</v>
      </c>
      <c r="J24" s="73">
        <f t="shared" si="0"/>
        <v>23.747953918034082</v>
      </c>
      <c r="K24" s="73">
        <f t="shared" ref="K24:K36" si="5">IF(B24=0,"",100*C24/B24)</f>
        <v>98.4738923753671</v>
      </c>
      <c r="L24" s="74">
        <f t="shared" si="2"/>
        <v>24.260374826589871</v>
      </c>
    </row>
    <row r="25" spans="1:18" s="4" customFormat="1" ht="25.5" customHeight="1" outlineLevel="3">
      <c r="A25" s="65" t="s">
        <v>6</v>
      </c>
      <c r="B25" s="46">
        <v>5146261.76</v>
      </c>
      <c r="C25" s="46">
        <v>5092215.5199999996</v>
      </c>
      <c r="D25" s="46">
        <v>5092216</v>
      </c>
      <c r="E25" s="46" t="s">
        <v>119</v>
      </c>
      <c r="F25" s="46" t="s">
        <v>119</v>
      </c>
      <c r="G25" s="46" t="s">
        <v>119</v>
      </c>
      <c r="H25" s="46" t="s">
        <v>119</v>
      </c>
      <c r="I25" s="46" t="s">
        <v>119</v>
      </c>
      <c r="J25" s="47">
        <f t="shared" si="0"/>
        <v>21.747310697221014</v>
      </c>
      <c r="K25" s="47">
        <f t="shared" si="5"/>
        <v>98.949796133183852</v>
      </c>
      <c r="L25" s="66">
        <f t="shared" si="2"/>
        <v>22.216562774455866</v>
      </c>
    </row>
    <row r="26" spans="1:18" s="4" customFormat="1" ht="25.5" customHeight="1" outlineLevel="3">
      <c r="A26" s="65" t="s">
        <v>4</v>
      </c>
      <c r="B26" s="46">
        <f>492864</f>
        <v>492864</v>
      </c>
      <c r="C26" s="46">
        <f>461536.5</f>
        <v>461536.5</v>
      </c>
      <c r="D26" s="46">
        <f>461536.5</f>
        <v>461536.5</v>
      </c>
      <c r="E26" s="46" t="s">
        <v>119</v>
      </c>
      <c r="F26" s="46" t="s">
        <v>119</v>
      </c>
      <c r="G26" s="46" t="s">
        <v>119</v>
      </c>
      <c r="H26" s="46" t="s">
        <v>119</v>
      </c>
      <c r="I26" s="46" t="s">
        <v>119</v>
      </c>
      <c r="J26" s="47">
        <f t="shared" si="0"/>
        <v>1.9710826504075278</v>
      </c>
      <c r="K26" s="47">
        <f t="shared" si="5"/>
        <v>93.64378408648227</v>
      </c>
      <c r="L26" s="66">
        <f t="shared" si="2"/>
        <v>2.0136136392264579</v>
      </c>
    </row>
    <row r="27" spans="1:18" s="4" customFormat="1" ht="25.5" customHeight="1" outlineLevel="3">
      <c r="A27" s="65" t="s">
        <v>7</v>
      </c>
      <c r="B27" s="46">
        <f>0</f>
        <v>0</v>
      </c>
      <c r="C27" s="46">
        <f>0</f>
        <v>0</v>
      </c>
      <c r="D27" s="46">
        <f>0</f>
        <v>0</v>
      </c>
      <c r="E27" s="46" t="s">
        <v>119</v>
      </c>
      <c r="F27" s="46" t="s">
        <v>119</v>
      </c>
      <c r="G27" s="46" t="s">
        <v>119</v>
      </c>
      <c r="H27" s="46" t="s">
        <v>119</v>
      </c>
      <c r="I27" s="46" t="s">
        <v>119</v>
      </c>
      <c r="J27" s="47">
        <f t="shared" si="0"/>
        <v>0</v>
      </c>
      <c r="K27" s="47" t="str">
        <f t="shared" si="5"/>
        <v/>
      </c>
      <c r="L27" s="66">
        <f t="shared" si="2"/>
        <v>0</v>
      </c>
    </row>
    <row r="28" spans="1:18" s="4" customFormat="1" ht="25.5" customHeight="1" outlineLevel="3">
      <c r="A28" s="65" t="s">
        <v>8</v>
      </c>
      <c r="B28" s="46">
        <f>7725</f>
        <v>7725</v>
      </c>
      <c r="C28" s="46">
        <f>6921.72</f>
        <v>6921.72</v>
      </c>
      <c r="D28" s="46">
        <f>6921.72</f>
        <v>6921.72</v>
      </c>
      <c r="E28" s="46" t="s">
        <v>119</v>
      </c>
      <c r="F28" s="46" t="s">
        <v>119</v>
      </c>
      <c r="G28" s="46" t="s">
        <v>119</v>
      </c>
      <c r="H28" s="46" t="s">
        <v>119</v>
      </c>
      <c r="I28" s="46" t="s">
        <v>119</v>
      </c>
      <c r="J28" s="47">
        <f t="shared" si="0"/>
        <v>2.9560570405544943E-2</v>
      </c>
      <c r="K28" s="47">
        <f t="shared" si="5"/>
        <v>89.601553398058257</v>
      </c>
      <c r="L28" s="66">
        <f t="shared" si="2"/>
        <v>3.0198412907552402E-2</v>
      </c>
    </row>
    <row r="29" spans="1:18" s="4" customFormat="1" ht="25.5" customHeight="1" outlineLevel="3">
      <c r="A29" s="65" t="s">
        <v>5</v>
      </c>
      <c r="B29" s="46">
        <f>0</f>
        <v>0</v>
      </c>
      <c r="C29" s="46">
        <f>0</f>
        <v>0</v>
      </c>
      <c r="D29" s="46">
        <f>0</f>
        <v>0</v>
      </c>
      <c r="E29" s="46" t="s">
        <v>119</v>
      </c>
      <c r="F29" s="46" t="s">
        <v>119</v>
      </c>
      <c r="G29" s="46" t="s">
        <v>119</v>
      </c>
      <c r="H29" s="46" t="s">
        <v>119</v>
      </c>
      <c r="I29" s="46" t="s">
        <v>119</v>
      </c>
      <c r="J29" s="47">
        <f t="shared" si="0"/>
        <v>0</v>
      </c>
      <c r="K29" s="47" t="str">
        <f t="shared" si="5"/>
        <v/>
      </c>
      <c r="L29" s="66">
        <f t="shared" si="2"/>
        <v>0</v>
      </c>
    </row>
    <row r="30" spans="1:18" s="4" customFormat="1" ht="26.25" customHeight="1" outlineLevel="2">
      <c r="A30" s="64" t="s">
        <v>233</v>
      </c>
      <c r="B30" s="44">
        <f>B31+B32+B33+B34+B35+B36</f>
        <v>3759973</v>
      </c>
      <c r="C30" s="44">
        <f>C31+C32+C33+C34+C35+C36</f>
        <v>3759973</v>
      </c>
      <c r="D30" s="44">
        <f>D31+D32+D33+D34+D35+D36</f>
        <v>3786595</v>
      </c>
      <c r="E30" s="49" t="s">
        <v>119</v>
      </c>
      <c r="F30" s="49" t="s">
        <v>119</v>
      </c>
      <c r="G30" s="49" t="s">
        <v>119</v>
      </c>
      <c r="H30" s="49" t="s">
        <v>119</v>
      </c>
      <c r="I30" s="49" t="s">
        <v>119</v>
      </c>
      <c r="J30" s="45">
        <f t="shared" si="0"/>
        <v>16.057706262236557</v>
      </c>
      <c r="K30" s="45">
        <f t="shared" si="5"/>
        <v>100</v>
      </c>
      <c r="L30" s="62">
        <f t="shared" si="2"/>
        <v>16.404191035645553</v>
      </c>
    </row>
    <row r="31" spans="1:18" s="4" customFormat="1" ht="17.25" customHeight="1" outlineLevel="3">
      <c r="A31" s="65" t="s">
        <v>87</v>
      </c>
      <c r="B31" s="46">
        <f>943485</f>
        <v>943485</v>
      </c>
      <c r="C31" s="46">
        <f>943485</f>
        <v>943485</v>
      </c>
      <c r="D31" s="46">
        <f>943485</f>
        <v>943485</v>
      </c>
      <c r="E31" s="46" t="s">
        <v>119</v>
      </c>
      <c r="F31" s="46" t="s">
        <v>119</v>
      </c>
      <c r="G31" s="46" t="s">
        <v>119</v>
      </c>
      <c r="H31" s="46" t="s">
        <v>119</v>
      </c>
      <c r="I31" s="46" t="s">
        <v>119</v>
      </c>
      <c r="J31" s="47">
        <f t="shared" si="0"/>
        <v>4.0293387725992336</v>
      </c>
      <c r="K31" s="47">
        <f t="shared" si="5"/>
        <v>100</v>
      </c>
      <c r="L31" s="66">
        <f t="shared" si="2"/>
        <v>4.1162817337427802</v>
      </c>
    </row>
    <row r="32" spans="1:18" s="4" customFormat="1" ht="17.25" customHeight="1" outlineLevel="3">
      <c r="A32" s="65" t="s">
        <v>86</v>
      </c>
      <c r="B32" s="46">
        <f>2807686</f>
        <v>2807686</v>
      </c>
      <c r="C32" s="46">
        <f>2807686</f>
        <v>2807686</v>
      </c>
      <c r="D32" s="46">
        <f>2834308</f>
        <v>2834308</v>
      </c>
      <c r="E32" s="46" t="s">
        <v>119</v>
      </c>
      <c r="F32" s="46" t="s">
        <v>119</v>
      </c>
      <c r="G32" s="46" t="s">
        <v>119</v>
      </c>
      <c r="H32" s="46" t="s">
        <v>119</v>
      </c>
      <c r="I32" s="46" t="s">
        <v>119</v>
      </c>
      <c r="J32" s="47">
        <f t="shared" si="0"/>
        <v>11.990776812651026</v>
      </c>
      <c r="K32" s="47">
        <f t="shared" si="5"/>
        <v>100</v>
      </c>
      <c r="L32" s="66">
        <f t="shared" si="2"/>
        <v>12.249507512981481</v>
      </c>
    </row>
    <row r="33" spans="1:12" s="4" customFormat="1" ht="17.25" customHeight="1" outlineLevel="3">
      <c r="A33" s="65" t="s">
        <v>85</v>
      </c>
      <c r="B33" s="46">
        <f>0</f>
        <v>0</v>
      </c>
      <c r="C33" s="46">
        <f>0</f>
        <v>0</v>
      </c>
      <c r="D33" s="46">
        <f>0</f>
        <v>0</v>
      </c>
      <c r="E33" s="46" t="s">
        <v>119</v>
      </c>
      <c r="F33" s="46" t="s">
        <v>119</v>
      </c>
      <c r="G33" s="46" t="s">
        <v>119</v>
      </c>
      <c r="H33" s="46" t="s">
        <v>119</v>
      </c>
      <c r="I33" s="46" t="s">
        <v>119</v>
      </c>
      <c r="J33" s="47">
        <f t="shared" si="0"/>
        <v>0</v>
      </c>
      <c r="K33" s="47" t="str">
        <f t="shared" si="5"/>
        <v/>
      </c>
      <c r="L33" s="66">
        <f t="shared" si="2"/>
        <v>0</v>
      </c>
    </row>
    <row r="34" spans="1:12" s="4" customFormat="1" ht="17.25" customHeight="1" outlineLevel="3">
      <c r="A34" s="65" t="s">
        <v>84</v>
      </c>
      <c r="B34" s="46">
        <f>8802</f>
        <v>8802</v>
      </c>
      <c r="C34" s="46">
        <f>8802</f>
        <v>8802</v>
      </c>
      <c r="D34" s="46">
        <f>8802</f>
        <v>8802</v>
      </c>
      <c r="E34" s="46" t="s">
        <v>119</v>
      </c>
      <c r="F34" s="46" t="s">
        <v>119</v>
      </c>
      <c r="G34" s="46" t="s">
        <v>119</v>
      </c>
      <c r="H34" s="46" t="s">
        <v>119</v>
      </c>
      <c r="I34" s="46" t="s">
        <v>119</v>
      </c>
      <c r="J34" s="47">
        <f t="shared" si="0"/>
        <v>3.7590676986299157E-2</v>
      </c>
      <c r="K34" s="47">
        <f t="shared" si="5"/>
        <v>100</v>
      </c>
      <c r="L34" s="66">
        <f t="shared" si="2"/>
        <v>3.8401788921290696E-2</v>
      </c>
    </row>
    <row r="35" spans="1:12" s="4" customFormat="1" ht="17.25" customHeight="1" outlineLevel="3">
      <c r="A35" s="79" t="s">
        <v>116</v>
      </c>
      <c r="B35" s="46">
        <f>0</f>
        <v>0</v>
      </c>
      <c r="C35" s="46">
        <f>0</f>
        <v>0</v>
      </c>
      <c r="D35" s="46">
        <f>0</f>
        <v>0</v>
      </c>
      <c r="E35" s="46" t="s">
        <v>119</v>
      </c>
      <c r="F35" s="46" t="s">
        <v>119</v>
      </c>
      <c r="G35" s="46" t="s">
        <v>119</v>
      </c>
      <c r="H35" s="46" t="s">
        <v>119</v>
      </c>
      <c r="I35" s="46" t="s">
        <v>119</v>
      </c>
      <c r="J35" s="50">
        <f t="shared" si="0"/>
        <v>0</v>
      </c>
      <c r="K35" s="50" t="str">
        <f t="shared" si="5"/>
        <v/>
      </c>
      <c r="L35" s="66">
        <f t="shared" si="2"/>
        <v>0</v>
      </c>
    </row>
    <row r="36" spans="1:12" s="4" customFormat="1" ht="22.5" customHeight="1" outlineLevel="3" thickBot="1">
      <c r="A36" s="65" t="s">
        <v>82</v>
      </c>
      <c r="B36" s="46">
        <f>0</f>
        <v>0</v>
      </c>
      <c r="C36" s="46">
        <f>0</f>
        <v>0</v>
      </c>
      <c r="D36" s="46">
        <f>0</f>
        <v>0</v>
      </c>
      <c r="E36" s="46" t="s">
        <v>119</v>
      </c>
      <c r="F36" s="46" t="s">
        <v>119</v>
      </c>
      <c r="G36" s="46" t="s">
        <v>119</v>
      </c>
      <c r="H36" s="46" t="s">
        <v>119</v>
      </c>
      <c r="I36" s="46" t="s">
        <v>119</v>
      </c>
      <c r="J36" s="47">
        <f t="shared" si="0"/>
        <v>0</v>
      </c>
      <c r="K36" s="47" t="str">
        <f t="shared" si="5"/>
        <v/>
      </c>
      <c r="L36" s="70">
        <f t="shared" si="2"/>
        <v>0</v>
      </c>
    </row>
    <row r="37" spans="1:12" s="4" customFormat="1" ht="26.25" customHeight="1" outlineLevel="1">
      <c r="A37" s="63" t="s">
        <v>234</v>
      </c>
      <c r="B37" s="44">
        <f>SUM(B38,B45,B47)</f>
        <v>659578.11</v>
      </c>
      <c r="C37" s="44">
        <f>SUM(C38,C45,C47)</f>
        <v>494573.17</v>
      </c>
      <c r="D37" s="44">
        <f>SUM(D38,D45,D47)</f>
        <v>494576.17</v>
      </c>
      <c r="E37" s="44">
        <f>SUM(E45:E47)</f>
        <v>0</v>
      </c>
      <c r="F37" s="44">
        <f>SUM(F45:F47)</f>
        <v>0</v>
      </c>
      <c r="G37" s="44">
        <f>SUM(G45:G47)</f>
        <v>0</v>
      </c>
      <c r="H37" s="44">
        <f>SUM(H45:H47)</f>
        <v>0</v>
      </c>
      <c r="I37" s="44">
        <f>SUM(I45:I47)</f>
        <v>0</v>
      </c>
      <c r="J37" s="45">
        <f t="shared" si="0"/>
        <v>2.1121722653442423</v>
      </c>
      <c r="K37" s="62">
        <f t="shared" ref="K37:K47" si="6">IF(B37=0,"",100*C37/B37)</f>
        <v>74.983260132753642</v>
      </c>
      <c r="L37" s="38"/>
    </row>
    <row r="38" spans="1:12" s="4" customFormat="1" ht="26.25" customHeight="1" outlineLevel="2">
      <c r="A38" s="64" t="s">
        <v>235</v>
      </c>
      <c r="B38" s="44">
        <f>SUM(B39:B44)</f>
        <v>485982.11</v>
      </c>
      <c r="C38" s="44">
        <f>SUM(C39:C44)</f>
        <v>436914.97</v>
      </c>
      <c r="D38" s="44">
        <f>SUM(D39:D44)</f>
        <v>436917.97</v>
      </c>
      <c r="E38" s="49" t="s">
        <v>119</v>
      </c>
      <c r="F38" s="49" t="s">
        <v>119</v>
      </c>
      <c r="G38" s="49" t="s">
        <v>119</v>
      </c>
      <c r="H38" s="49" t="s">
        <v>119</v>
      </c>
      <c r="I38" s="49" t="s">
        <v>119</v>
      </c>
      <c r="J38" s="45">
        <f t="shared" si="0"/>
        <v>1.8659315505281282</v>
      </c>
      <c r="K38" s="62">
        <f t="shared" si="6"/>
        <v>89.903508999539099</v>
      </c>
      <c r="L38" s="35"/>
    </row>
    <row r="39" spans="1:12" s="4" customFormat="1" ht="25.5" customHeight="1" outlineLevel="3">
      <c r="A39" s="65" t="s">
        <v>6</v>
      </c>
      <c r="B39" s="46">
        <f>0</f>
        <v>0</v>
      </c>
      <c r="C39" s="46">
        <f>0</f>
        <v>0</v>
      </c>
      <c r="D39" s="46">
        <f>0</f>
        <v>0</v>
      </c>
      <c r="E39" s="46" t="s">
        <v>119</v>
      </c>
      <c r="F39" s="46" t="s">
        <v>119</v>
      </c>
      <c r="G39" s="46" t="s">
        <v>119</v>
      </c>
      <c r="H39" s="46" t="s">
        <v>119</v>
      </c>
      <c r="I39" s="46" t="s">
        <v>119</v>
      </c>
      <c r="J39" s="47">
        <f t="shared" ref="J39:J47" si="7">IF($C$6=0,"",100*$C39/$C$6)</f>
        <v>0</v>
      </c>
      <c r="K39" s="66" t="str">
        <f t="shared" si="6"/>
        <v/>
      </c>
      <c r="L39" s="35"/>
    </row>
    <row r="40" spans="1:12" s="4" customFormat="1" ht="25.5" customHeight="1" outlineLevel="3">
      <c r="A40" s="65" t="s">
        <v>4</v>
      </c>
      <c r="B40" s="46">
        <f>0</f>
        <v>0</v>
      </c>
      <c r="C40" s="46">
        <f>0</f>
        <v>0</v>
      </c>
      <c r="D40" s="46">
        <f>0</f>
        <v>0</v>
      </c>
      <c r="E40" s="46" t="s">
        <v>119</v>
      </c>
      <c r="F40" s="46" t="s">
        <v>119</v>
      </c>
      <c r="G40" s="46" t="s">
        <v>119</v>
      </c>
      <c r="H40" s="46" t="s">
        <v>119</v>
      </c>
      <c r="I40" s="46" t="s">
        <v>119</v>
      </c>
      <c r="J40" s="47">
        <f t="shared" si="7"/>
        <v>0</v>
      </c>
      <c r="K40" s="66" t="str">
        <f t="shared" si="6"/>
        <v/>
      </c>
      <c r="L40" s="35"/>
    </row>
    <row r="41" spans="1:12" s="4" customFormat="1" ht="25.5" customHeight="1" outlineLevel="3">
      <c r="A41" s="65" t="s">
        <v>7</v>
      </c>
      <c r="B41" s="46">
        <f>0</f>
        <v>0</v>
      </c>
      <c r="C41" s="46">
        <f>0</f>
        <v>0</v>
      </c>
      <c r="D41" s="46">
        <f>0</f>
        <v>0</v>
      </c>
      <c r="E41" s="46" t="s">
        <v>119</v>
      </c>
      <c r="F41" s="46" t="s">
        <v>119</v>
      </c>
      <c r="G41" s="46" t="s">
        <v>119</v>
      </c>
      <c r="H41" s="46" t="s">
        <v>119</v>
      </c>
      <c r="I41" s="46" t="s">
        <v>119</v>
      </c>
      <c r="J41" s="47">
        <f t="shared" si="7"/>
        <v>0</v>
      </c>
      <c r="K41" s="66" t="str">
        <f t="shared" si="6"/>
        <v/>
      </c>
      <c r="L41" s="35"/>
    </row>
    <row r="42" spans="1:12" s="4" customFormat="1" ht="25.5" customHeight="1" outlineLevel="3">
      <c r="A42" s="65" t="s">
        <v>8</v>
      </c>
      <c r="B42" s="46">
        <f>0</f>
        <v>0</v>
      </c>
      <c r="C42" s="46">
        <f>0</f>
        <v>0</v>
      </c>
      <c r="D42" s="46">
        <f>0</f>
        <v>0</v>
      </c>
      <c r="E42" s="46" t="s">
        <v>119</v>
      </c>
      <c r="F42" s="46" t="s">
        <v>119</v>
      </c>
      <c r="G42" s="46" t="s">
        <v>119</v>
      </c>
      <c r="H42" s="46" t="s">
        <v>119</v>
      </c>
      <c r="I42" s="46" t="s">
        <v>119</v>
      </c>
      <c r="J42" s="47">
        <f t="shared" si="7"/>
        <v>0</v>
      </c>
      <c r="K42" s="66" t="str">
        <f t="shared" si="6"/>
        <v/>
      </c>
      <c r="L42" s="35"/>
    </row>
    <row r="43" spans="1:12" s="4" customFormat="1" ht="25.5" customHeight="1" outlineLevel="3">
      <c r="A43" s="65" t="s">
        <v>5</v>
      </c>
      <c r="B43" s="46">
        <v>485982.11</v>
      </c>
      <c r="C43" s="46">
        <v>436914.97</v>
      </c>
      <c r="D43" s="46">
        <v>436917.97</v>
      </c>
      <c r="E43" s="46" t="s">
        <v>119</v>
      </c>
      <c r="F43" s="46" t="s">
        <v>119</v>
      </c>
      <c r="G43" s="46" t="s">
        <v>119</v>
      </c>
      <c r="H43" s="46" t="s">
        <v>119</v>
      </c>
      <c r="I43" s="46" t="s">
        <v>119</v>
      </c>
      <c r="J43" s="47">
        <f t="shared" si="7"/>
        <v>1.8659315505281282</v>
      </c>
      <c r="K43" s="66">
        <f>IF(B43=0,"",100*C43/B43)</f>
        <v>89.903508999539099</v>
      </c>
      <c r="L43" s="35"/>
    </row>
    <row r="44" spans="1:12" s="4" customFormat="1" ht="25.5" customHeight="1" outlineLevel="3">
      <c r="A44" s="65" t="s">
        <v>199</v>
      </c>
      <c r="B44" s="46"/>
      <c r="C44" s="46"/>
      <c r="D44" s="46"/>
      <c r="E44" s="46" t="s">
        <v>119</v>
      </c>
      <c r="F44" s="46" t="s">
        <v>119</v>
      </c>
      <c r="G44" s="46" t="s">
        <v>119</v>
      </c>
      <c r="H44" s="46" t="s">
        <v>119</v>
      </c>
      <c r="I44" s="46" t="s">
        <v>119</v>
      </c>
      <c r="J44" s="47">
        <f t="shared" si="7"/>
        <v>0</v>
      </c>
      <c r="K44" s="66" t="str">
        <f>IF(B44=0,"",100*C44/B44)</f>
        <v/>
      </c>
      <c r="L44" s="35"/>
    </row>
    <row r="45" spans="1:12" s="4" customFormat="1" ht="26.25" customHeight="1" outlineLevel="2">
      <c r="A45" s="64" t="s">
        <v>236</v>
      </c>
      <c r="B45" s="49">
        <f>99240</f>
        <v>99240</v>
      </c>
      <c r="C45" s="51">
        <f>45000</f>
        <v>45000</v>
      </c>
      <c r="D45" s="49">
        <f>45000</f>
        <v>45000</v>
      </c>
      <c r="E45" s="49">
        <f>0</f>
        <v>0</v>
      </c>
      <c r="F45" s="49">
        <f>0</f>
        <v>0</v>
      </c>
      <c r="G45" s="49">
        <f>0</f>
        <v>0</v>
      </c>
      <c r="H45" s="49">
        <f>0</f>
        <v>0</v>
      </c>
      <c r="I45" s="49">
        <f>0</f>
        <v>0</v>
      </c>
      <c r="J45" s="52">
        <f t="shared" si="7"/>
        <v>0.19218137518557848</v>
      </c>
      <c r="K45" s="80">
        <f t="shared" si="6"/>
        <v>45.344619105199513</v>
      </c>
      <c r="L45" s="39"/>
    </row>
    <row r="46" spans="1:12" s="4" customFormat="1" ht="26.25" customHeight="1" outlineLevel="3">
      <c r="A46" s="65" t="s">
        <v>194</v>
      </c>
      <c r="B46" s="46">
        <f>54240</f>
        <v>54240</v>
      </c>
      <c r="C46" s="48">
        <f>0</f>
        <v>0</v>
      </c>
      <c r="D46" s="46">
        <f>0</f>
        <v>0</v>
      </c>
      <c r="E46" s="46">
        <f>0</f>
        <v>0</v>
      </c>
      <c r="F46" s="46">
        <f>0</f>
        <v>0</v>
      </c>
      <c r="G46" s="46">
        <f>0</f>
        <v>0</v>
      </c>
      <c r="H46" s="46">
        <f>0</f>
        <v>0</v>
      </c>
      <c r="I46" s="46">
        <f>0</f>
        <v>0</v>
      </c>
      <c r="J46" s="47">
        <f t="shared" si="7"/>
        <v>0</v>
      </c>
      <c r="K46" s="66">
        <f>IF(B46=0,"",100*C46/B46)</f>
        <v>0</v>
      </c>
      <c r="L46" s="39"/>
    </row>
    <row r="47" spans="1:12" s="4" customFormat="1" ht="26.25" customHeight="1" outlineLevel="2" thickBot="1">
      <c r="A47" s="81" t="s">
        <v>188</v>
      </c>
      <c r="B47" s="82">
        <f>74356</f>
        <v>74356</v>
      </c>
      <c r="C47" s="83">
        <f>12658.2</f>
        <v>12658.2</v>
      </c>
      <c r="D47" s="82">
        <f>12658.2</f>
        <v>12658.2</v>
      </c>
      <c r="E47" s="82">
        <f>0</f>
        <v>0</v>
      </c>
      <c r="F47" s="82">
        <f>0</f>
        <v>0</v>
      </c>
      <c r="G47" s="82">
        <f>0</f>
        <v>0</v>
      </c>
      <c r="H47" s="82">
        <f>0</f>
        <v>0</v>
      </c>
      <c r="I47" s="82">
        <f>0</f>
        <v>0</v>
      </c>
      <c r="J47" s="84">
        <f t="shared" si="7"/>
        <v>5.405933963053533E-2</v>
      </c>
      <c r="K47" s="85">
        <f t="shared" si="6"/>
        <v>17.023777502824252</v>
      </c>
      <c r="L47" s="39"/>
    </row>
    <row r="48" spans="1:12" ht="23.25" customHeight="1">
      <c r="A48" s="122">
        <f>A1</f>
        <v>0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1:26" ht="51" customHeight="1" thickBot="1">
      <c r="A49" s="125" t="str">
        <f>+A2</f>
        <v>INFORMACJA Z WYKONANIA BUDŻETU GMINY RYMAŃ ZA IV KW. 2019 R.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26" ht="29.25" customHeight="1">
      <c r="A50" s="118" t="s">
        <v>0</v>
      </c>
      <c r="B50" s="111" t="s">
        <v>167</v>
      </c>
      <c r="C50" s="111" t="s">
        <v>175</v>
      </c>
      <c r="D50" s="111" t="s">
        <v>176</v>
      </c>
      <c r="E50" s="111" t="s">
        <v>32</v>
      </c>
      <c r="F50" s="111"/>
      <c r="G50" s="111"/>
      <c r="H50" s="111" t="s">
        <v>180</v>
      </c>
      <c r="I50" s="111"/>
      <c r="J50" s="111" t="s">
        <v>1</v>
      </c>
      <c r="K50" s="114" t="s">
        <v>73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" customHeight="1">
      <c r="A51" s="119"/>
      <c r="B51" s="112"/>
      <c r="C51" s="113"/>
      <c r="D51" s="112"/>
      <c r="E51" s="123" t="s">
        <v>177</v>
      </c>
      <c r="F51" s="126" t="s">
        <v>71</v>
      </c>
      <c r="G51" s="113"/>
      <c r="H51" s="112"/>
      <c r="I51" s="112"/>
      <c r="J51" s="112"/>
      <c r="K51" s="115"/>
      <c r="L51" s="9"/>
      <c r="M51" s="1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6" customHeight="1">
      <c r="A52" s="119"/>
      <c r="B52" s="112"/>
      <c r="C52" s="113"/>
      <c r="D52" s="112"/>
      <c r="E52" s="113"/>
      <c r="F52" s="37" t="s">
        <v>178</v>
      </c>
      <c r="G52" s="37" t="s">
        <v>179</v>
      </c>
      <c r="H52" s="112"/>
      <c r="I52" s="112"/>
      <c r="J52" s="112"/>
      <c r="K52" s="115"/>
      <c r="L52" s="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119"/>
      <c r="B53" s="120" t="s">
        <v>181</v>
      </c>
      <c r="C53" s="120"/>
      <c r="D53" s="120"/>
      <c r="E53" s="120"/>
      <c r="F53" s="120"/>
      <c r="G53" s="120"/>
      <c r="H53" s="120"/>
      <c r="I53" s="120"/>
      <c r="J53" s="120" t="s">
        <v>2</v>
      </c>
      <c r="K53" s="121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1.25" customHeight="1" thickBot="1">
      <c r="A54" s="75">
        <v>1</v>
      </c>
      <c r="B54" s="76">
        <v>2</v>
      </c>
      <c r="C54" s="76">
        <v>3</v>
      </c>
      <c r="D54" s="76">
        <v>4</v>
      </c>
      <c r="E54" s="77">
        <v>5</v>
      </c>
      <c r="F54" s="77">
        <v>6</v>
      </c>
      <c r="G54" s="76">
        <v>7</v>
      </c>
      <c r="H54" s="105">
        <v>8</v>
      </c>
      <c r="I54" s="105"/>
      <c r="J54" s="77">
        <v>9</v>
      </c>
      <c r="K54" s="78">
        <v>10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5.5" customHeight="1">
      <c r="A55" s="71" t="s">
        <v>123</v>
      </c>
      <c r="B55" s="86">
        <f>20482590.87</f>
        <v>20482590.870000001</v>
      </c>
      <c r="C55" s="86">
        <f>18555674.35</f>
        <v>18555674.350000001</v>
      </c>
      <c r="D55" s="86">
        <f>18555410.56</f>
        <v>18555410.559999999</v>
      </c>
      <c r="E55" s="86">
        <f>855074.57</f>
        <v>855074.57</v>
      </c>
      <c r="F55" s="86">
        <f>0</f>
        <v>0</v>
      </c>
      <c r="G55" s="86">
        <f>0</f>
        <v>0</v>
      </c>
      <c r="H55" s="108">
        <f>0</f>
        <v>0</v>
      </c>
      <c r="I55" s="109"/>
      <c r="J55" s="93">
        <f t="shared" ref="J55:J61" si="8">IF($D$55=0,"",100*$D55/$D$55)</f>
        <v>100</v>
      </c>
      <c r="K55" s="94">
        <f t="shared" ref="K55:K61" si="9">IF(B55=0,"",100*D55/B55)</f>
        <v>90.591130183522509</v>
      </c>
    </row>
    <row r="56" spans="1:26" ht="24.75" customHeight="1" outlineLevel="1">
      <c r="A56" s="63" t="s">
        <v>163</v>
      </c>
      <c r="B56" s="49">
        <f t="shared" ref="B56:H56" si="10">B55-B62</f>
        <v>18636475.760000002</v>
      </c>
      <c r="C56" s="49">
        <f t="shared" si="10"/>
        <v>17724837.900000002</v>
      </c>
      <c r="D56" s="49">
        <f t="shared" si="10"/>
        <v>17724574.109999999</v>
      </c>
      <c r="E56" s="49">
        <f t="shared" si="10"/>
        <v>855074.57</v>
      </c>
      <c r="F56" s="49">
        <f t="shared" si="10"/>
        <v>0</v>
      </c>
      <c r="G56" s="49">
        <f t="shared" si="10"/>
        <v>0</v>
      </c>
      <c r="H56" s="103">
        <f t="shared" si="10"/>
        <v>0</v>
      </c>
      <c r="I56" s="104"/>
      <c r="J56" s="53">
        <f t="shared" si="8"/>
        <v>95.522403304882744</v>
      </c>
      <c r="K56" s="87">
        <f t="shared" si="9"/>
        <v>95.106898633929262</v>
      </c>
    </row>
    <row r="57" spans="1:26" ht="15.75" customHeight="1" outlineLevel="2">
      <c r="A57" s="88" t="s">
        <v>222</v>
      </c>
      <c r="B57" s="46">
        <f>7119769.66</f>
        <v>7119769.6600000001</v>
      </c>
      <c r="C57" s="46">
        <f>6751291.54</f>
        <v>6751291.54</v>
      </c>
      <c r="D57" s="46">
        <f>6751291.54</f>
        <v>6751291.54</v>
      </c>
      <c r="E57" s="46">
        <f>644647.28</f>
        <v>644647.28</v>
      </c>
      <c r="F57" s="46">
        <f>0</f>
        <v>0</v>
      </c>
      <c r="G57" s="46">
        <f>0</f>
        <v>0</v>
      </c>
      <c r="H57" s="106">
        <f>0</f>
        <v>0</v>
      </c>
      <c r="I57" s="107"/>
      <c r="J57" s="50">
        <f t="shared" si="8"/>
        <v>36.384490217391345</v>
      </c>
      <c r="K57" s="89">
        <f t="shared" si="9"/>
        <v>94.824578074903613</v>
      </c>
    </row>
    <row r="58" spans="1:26" ht="15.75" customHeight="1" outlineLevel="2">
      <c r="A58" s="90" t="s">
        <v>90</v>
      </c>
      <c r="B58" s="46">
        <f>533198.75</f>
        <v>533198.75</v>
      </c>
      <c r="C58" s="46">
        <f>511982.76</f>
        <v>511982.76</v>
      </c>
      <c r="D58" s="46">
        <f>511982.76</f>
        <v>511982.76</v>
      </c>
      <c r="E58" s="46">
        <f>0</f>
        <v>0</v>
      </c>
      <c r="F58" s="46">
        <f>0</f>
        <v>0</v>
      </c>
      <c r="G58" s="46">
        <f>0</f>
        <v>0</v>
      </c>
      <c r="H58" s="106">
        <f>0</f>
        <v>0</v>
      </c>
      <c r="I58" s="107"/>
      <c r="J58" s="50">
        <f t="shared" si="8"/>
        <v>2.7592100877772228</v>
      </c>
      <c r="K58" s="89">
        <f t="shared" si="9"/>
        <v>96.020997798663259</v>
      </c>
    </row>
    <row r="59" spans="1:26" ht="15.75" customHeight="1" outlineLevel="2">
      <c r="A59" s="90" t="s">
        <v>223</v>
      </c>
      <c r="B59" s="46">
        <f>440461</f>
        <v>440461</v>
      </c>
      <c r="C59" s="46">
        <f>440193.76</f>
        <v>440193.76</v>
      </c>
      <c r="D59" s="46">
        <f>440193.76</f>
        <v>440193.76</v>
      </c>
      <c r="E59" s="46">
        <f>0</f>
        <v>0</v>
      </c>
      <c r="F59" s="46">
        <f>0</f>
        <v>0</v>
      </c>
      <c r="G59" s="46">
        <f>0</f>
        <v>0</v>
      </c>
      <c r="H59" s="106">
        <f>0</f>
        <v>0</v>
      </c>
      <c r="I59" s="107"/>
      <c r="J59" s="50">
        <f t="shared" si="8"/>
        <v>2.3723202382216653</v>
      </c>
      <c r="K59" s="89">
        <f>IF(B59=0,"",100*D59/B59)</f>
        <v>99.939327204905766</v>
      </c>
    </row>
    <row r="60" spans="1:26" ht="15.75" customHeight="1" outlineLevel="2">
      <c r="A60" s="90" t="s">
        <v>218</v>
      </c>
      <c r="B60" s="46">
        <f>0</f>
        <v>0</v>
      </c>
      <c r="C60" s="46">
        <f>0</f>
        <v>0</v>
      </c>
      <c r="D60" s="46">
        <f>0</f>
        <v>0</v>
      </c>
      <c r="E60" s="46">
        <f>0</f>
        <v>0</v>
      </c>
      <c r="F60" s="46">
        <f>0</f>
        <v>0</v>
      </c>
      <c r="G60" s="46">
        <f>0</f>
        <v>0</v>
      </c>
      <c r="H60" s="106">
        <f>0</f>
        <v>0</v>
      </c>
      <c r="I60" s="107"/>
      <c r="J60" s="50">
        <f>IF($D$55=0,"",100*$D60/$D$55)</f>
        <v>0</v>
      </c>
      <c r="K60" s="89" t="str">
        <f>IF(B60=0,"",100*D60/B60)</f>
        <v/>
      </c>
    </row>
    <row r="61" spans="1:26" ht="15.75" customHeight="1" outlineLevel="2">
      <c r="A61" s="90" t="s">
        <v>224</v>
      </c>
      <c r="B61" s="46">
        <f t="shared" ref="B61:G61" si="11">B56-SUM(B57:B60)</f>
        <v>10543046.350000001</v>
      </c>
      <c r="C61" s="46">
        <f t="shared" si="11"/>
        <v>10021369.840000004</v>
      </c>
      <c r="D61" s="46">
        <f t="shared" si="11"/>
        <v>10021106.050000001</v>
      </c>
      <c r="E61" s="46">
        <f t="shared" si="11"/>
        <v>210427.28999999992</v>
      </c>
      <c r="F61" s="46">
        <f t="shared" si="11"/>
        <v>0</v>
      </c>
      <c r="G61" s="46">
        <f t="shared" si="11"/>
        <v>0</v>
      </c>
      <c r="H61" s="106">
        <v>0</v>
      </c>
      <c r="I61" s="107"/>
      <c r="J61" s="50">
        <f t="shared" si="8"/>
        <v>54.006382761492517</v>
      </c>
      <c r="K61" s="89">
        <f t="shared" si="9"/>
        <v>95.049435593157568</v>
      </c>
    </row>
    <row r="62" spans="1:26" ht="24.75" customHeight="1" outlineLevel="1" thickBot="1">
      <c r="A62" s="98" t="s">
        <v>162</v>
      </c>
      <c r="B62" s="82">
        <f>1846115.11</f>
        <v>1846115.11</v>
      </c>
      <c r="C62" s="82">
        <f>830836.45</f>
        <v>830836.45</v>
      </c>
      <c r="D62" s="82">
        <f>830836.45</f>
        <v>830836.45</v>
      </c>
      <c r="E62" s="82">
        <f>0</f>
        <v>0</v>
      </c>
      <c r="F62" s="82">
        <f>0</f>
        <v>0</v>
      </c>
      <c r="G62" s="82">
        <f>0</f>
        <v>0</v>
      </c>
      <c r="H62" s="116">
        <f>0</f>
        <v>0</v>
      </c>
      <c r="I62" s="117"/>
      <c r="J62" s="91">
        <f>IF($D$55=0,"",100*$D62/$D$55)</f>
        <v>4.4775966951172652</v>
      </c>
      <c r="K62" s="92">
        <f>IF(B62=0,"",100*D62/B62)</f>
        <v>45.004585331626473</v>
      </c>
    </row>
    <row r="63" spans="1:26" ht="24.75" customHeight="1"/>
    <row r="64" spans="1:26" ht="31.5" customHeight="1">
      <c r="A64" s="99" t="s">
        <v>189</v>
      </c>
      <c r="B64" s="46">
        <f>B6-B55</f>
        <v>235551</v>
      </c>
      <c r="C64" s="46"/>
      <c r="D64" s="46">
        <f>C6-D55</f>
        <v>4859969.8100000024</v>
      </c>
      <c r="E64" s="40"/>
      <c r="F64" s="40"/>
      <c r="G64" s="11"/>
    </row>
    <row r="65" spans="1:6" ht="31.5" customHeight="1">
      <c r="A65" s="99" t="s">
        <v>190</v>
      </c>
      <c r="B65" s="46">
        <f>B7-B56</f>
        <v>1422088</v>
      </c>
      <c r="C65" s="46"/>
      <c r="D65" s="46">
        <f>C7-D56</f>
        <v>5196233.09</v>
      </c>
      <c r="E65" s="40"/>
      <c r="F65" s="40"/>
    </row>
    <row r="66" spans="1:6" ht="31.5" customHeight="1">
      <c r="A66" s="99" t="s">
        <v>191</v>
      </c>
      <c r="B66" s="46">
        <f>B37-B62</f>
        <v>-1186537</v>
      </c>
      <c r="C66" s="46"/>
      <c r="D66" s="46">
        <f>C37-D62</f>
        <v>-336263.27999999997</v>
      </c>
      <c r="E66" s="40"/>
      <c r="F66" s="40"/>
    </row>
    <row r="67" spans="1:6">
      <c r="A67" s="100"/>
      <c r="B67" s="101"/>
      <c r="C67" s="101"/>
      <c r="D67" s="101"/>
      <c r="E67" s="40"/>
      <c r="F67" s="40"/>
    </row>
    <row r="68" spans="1:6" hidden="1">
      <c r="A68" s="40"/>
      <c r="B68" s="40"/>
      <c r="C68" s="40"/>
      <c r="D68" s="40"/>
      <c r="E68" s="40"/>
      <c r="F68" s="40"/>
    </row>
    <row r="69" spans="1:6" hidden="1">
      <c r="A69" s="29" t="s">
        <v>125</v>
      </c>
      <c r="B69" s="29">
        <f>4</f>
        <v>4</v>
      </c>
      <c r="C69" s="29" t="str">
        <f>IF(B69=1,"I kwartał",IF(B69=2,"II kwartały",IF(B69=3,"III kwartały",IF(B69=4,"IV kwartały","-"))))</f>
        <v>IV kwartały</v>
      </c>
    </row>
    <row r="70" spans="1:6" hidden="1">
      <c r="A70" s="29" t="s">
        <v>126</v>
      </c>
      <c r="B70" s="29">
        <f>2019</f>
        <v>2019</v>
      </c>
    </row>
    <row r="71" spans="1:6" hidden="1">
      <c r="A71" s="29" t="s">
        <v>127</v>
      </c>
      <c r="B71" s="41" t="str">
        <f>"Feb 27 2020 12:00AM"</f>
        <v>Feb 27 2020 12:00AM</v>
      </c>
    </row>
    <row r="72" spans="1:6" hidden="1"/>
    <row r="73" spans="1:6" hidden="1">
      <c r="A73" t="s">
        <v>226</v>
      </c>
      <c r="B73" t="s">
        <v>227</v>
      </c>
      <c r="D73">
        <f>IF(COUNTA(B74:B77)=1,1,0)</f>
        <v>1</v>
      </c>
    </row>
    <row r="74" spans="1:6" hidden="1">
      <c r="A74" t="s">
        <v>237</v>
      </c>
      <c r="B74">
        <v>3208052</v>
      </c>
    </row>
    <row r="75" spans="1:6" hidden="1">
      <c r="A75"/>
      <c r="B75"/>
    </row>
    <row r="76" spans="1:6" hidden="1"/>
    <row r="77" spans="1:6" hidden="1"/>
    <row r="78" spans="1:6" hidden="1"/>
    <row r="79" spans="1:6" hidden="1"/>
    <row r="80" spans="1:6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29">
    <mergeCell ref="H58:I58"/>
    <mergeCell ref="H61:I61"/>
    <mergeCell ref="H59:I59"/>
    <mergeCell ref="H62:I62"/>
    <mergeCell ref="A3:A4"/>
    <mergeCell ref="B4:I4"/>
    <mergeCell ref="A48:L48"/>
    <mergeCell ref="D50:D52"/>
    <mergeCell ref="E51:E52"/>
    <mergeCell ref="H60:I60"/>
    <mergeCell ref="A49:L49"/>
    <mergeCell ref="B53:I53"/>
    <mergeCell ref="B50:B52"/>
    <mergeCell ref="A50:A53"/>
    <mergeCell ref="J50:J52"/>
    <mergeCell ref="J53:K53"/>
    <mergeCell ref="O1:Q1"/>
    <mergeCell ref="H56:I56"/>
    <mergeCell ref="H54:I54"/>
    <mergeCell ref="H57:I57"/>
    <mergeCell ref="H55:I55"/>
    <mergeCell ref="A1:L1"/>
    <mergeCell ref="H50:I52"/>
    <mergeCell ref="C50:C52"/>
    <mergeCell ref="K50:K52"/>
    <mergeCell ref="J4:L4"/>
    <mergeCell ref="A2:L2"/>
    <mergeCell ref="E50:G50"/>
    <mergeCell ref="F51:G51"/>
  </mergeCells>
  <phoneticPr fontId="0" type="noConversion"/>
  <pageMargins left="0.19685039370078741" right="0.19685039370078741" top="0.78740157480314965" bottom="0.78740157480314965" header="0.31496062992125984" footer="0.19685039370078741"/>
  <pageSetup paperSize="9" scale="68" orientation="landscape" r:id="rId1"/>
  <headerFooter alignWithMargins="0">
    <oddHeader>&amp;LANALIZA BUDŻETU 2
WIAS "B"</oddHeader>
    <oddFooter>&amp;L&amp;"Arial CE,Kursywa"&amp;9&amp;D&amp;R&amp;9strona &amp;P z 4</oddFooter>
  </headerFooter>
  <rowBreaks count="2" manualBreakCount="2">
    <brk id="23" max="11" man="1"/>
    <brk id="4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1"/>
  <sheetViews>
    <sheetView topLeftCell="A25" workbookViewId="0">
      <selection activeCell="A33" sqref="A33"/>
    </sheetView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/>
  <dimension ref="A1:X80"/>
  <sheetViews>
    <sheetView topLeftCell="B60" workbookViewId="0">
      <selection activeCell="I63" sqref="I63:J63"/>
    </sheetView>
  </sheetViews>
  <sheetFormatPr defaultRowHeight="12.75"/>
  <cols>
    <col min="1" max="1" width="5.7109375" style="26" customWidth="1"/>
    <col min="2" max="2" width="35.140625" style="1" customWidth="1"/>
    <col min="3" max="6" width="13.85546875" style="1" customWidth="1"/>
    <col min="7" max="10" width="13.5703125" style="1" customWidth="1"/>
    <col min="11" max="11" width="14.42578125" style="1" customWidth="1"/>
    <col min="12" max="12" width="14.5703125" style="1" customWidth="1"/>
    <col min="13" max="16384" width="9.140625" style="1"/>
  </cols>
  <sheetData>
    <row r="1" spans="1:10" ht="75" customHeight="1">
      <c r="B1" s="144" t="str">
        <f>CONCATENATE("Informacja z wykonania budżetów jednostek samorządu terytorialnego za ",okres!$C$1," ",okres!$B$2," roku")</f>
        <v>Informacja z wykonania budżetów jednostek samorządu terytorialnego za - 2019 roku</v>
      </c>
      <c r="C1" s="144"/>
      <c r="D1" s="144"/>
      <c r="E1" s="144"/>
      <c r="F1" s="144"/>
      <c r="G1" s="144"/>
      <c r="H1" s="144"/>
      <c r="I1" s="144"/>
      <c r="J1" s="144"/>
    </row>
    <row r="3" spans="1:10" ht="66.75" customHeight="1">
      <c r="B3" s="157" t="s">
        <v>0</v>
      </c>
      <c r="C3" s="14" t="s">
        <v>74</v>
      </c>
      <c r="D3" s="14" t="s">
        <v>75</v>
      </c>
      <c r="E3" s="14" t="s">
        <v>76</v>
      </c>
      <c r="F3" s="14" t="s">
        <v>77</v>
      </c>
      <c r="G3" s="14" t="s">
        <v>78</v>
      </c>
      <c r="H3" s="14" t="s">
        <v>79</v>
      </c>
      <c r="I3" s="14" t="s">
        <v>80</v>
      </c>
      <c r="J3" s="14" t="s">
        <v>81</v>
      </c>
    </row>
    <row r="4" spans="1:10">
      <c r="B4" s="158"/>
      <c r="C4" s="16" t="s">
        <v>95</v>
      </c>
      <c r="D4" s="16" t="s">
        <v>58</v>
      </c>
      <c r="E4" s="16" t="s">
        <v>96</v>
      </c>
      <c r="F4" s="16" t="s">
        <v>97</v>
      </c>
      <c r="G4" s="16" t="s">
        <v>98</v>
      </c>
      <c r="H4" s="16" t="s">
        <v>100</v>
      </c>
      <c r="I4" s="16" t="s">
        <v>101</v>
      </c>
      <c r="J4" s="16" t="s">
        <v>99</v>
      </c>
    </row>
    <row r="5" spans="1:10">
      <c r="B5" s="16">
        <v>1</v>
      </c>
      <c r="C5" s="18">
        <v>2</v>
      </c>
      <c r="D5" s="18">
        <v>3</v>
      </c>
      <c r="E5" s="18">
        <v>4</v>
      </c>
      <c r="F5" s="16">
        <v>5</v>
      </c>
      <c r="G5" s="18">
        <v>6</v>
      </c>
      <c r="H5" s="16">
        <v>7</v>
      </c>
      <c r="I5" s="18">
        <v>8</v>
      </c>
      <c r="J5" s="16">
        <v>9</v>
      </c>
    </row>
    <row r="6" spans="1:10" ht="25.5" customHeight="1">
      <c r="A6" s="26" t="s">
        <v>9</v>
      </c>
      <c r="B6" s="19" t="s">
        <v>3</v>
      </c>
      <c r="C6" s="150" t="s">
        <v>102</v>
      </c>
      <c r="D6" s="151"/>
      <c r="E6" s="151"/>
      <c r="F6" s="151"/>
      <c r="G6" s="151"/>
      <c r="H6" s="151"/>
      <c r="I6" s="151"/>
      <c r="J6" s="152"/>
    </row>
    <row r="7" spans="1:10" ht="25.5" customHeight="1">
      <c r="A7" s="26" t="s">
        <v>10</v>
      </c>
      <c r="B7" s="20" t="s">
        <v>120</v>
      </c>
      <c r="C7" s="153" t="s">
        <v>68</v>
      </c>
      <c r="D7" s="154"/>
      <c r="E7" s="154"/>
      <c r="F7" s="154"/>
      <c r="G7" s="154"/>
      <c r="H7" s="154"/>
      <c r="I7" s="154"/>
      <c r="J7" s="155"/>
    </row>
    <row r="8" spans="1:10" ht="22.5" customHeight="1">
      <c r="A8" s="26" t="s">
        <v>11</v>
      </c>
      <c r="B8" s="21" t="s">
        <v>72</v>
      </c>
      <c r="C8" s="141" t="s">
        <v>128</v>
      </c>
      <c r="D8" s="142"/>
      <c r="E8" s="142"/>
      <c r="F8" s="142"/>
      <c r="G8" s="142"/>
      <c r="H8" s="142"/>
      <c r="I8" s="142"/>
      <c r="J8" s="143"/>
    </row>
    <row r="9" spans="1:10" ht="22.5" customHeight="1">
      <c r="A9" s="26" t="s">
        <v>12</v>
      </c>
      <c r="B9" s="22" t="s">
        <v>50</v>
      </c>
      <c r="C9" s="136" t="s">
        <v>129</v>
      </c>
      <c r="D9" s="137"/>
      <c r="E9" s="137"/>
      <c r="F9" s="137"/>
      <c r="G9" s="137"/>
      <c r="H9" s="137"/>
      <c r="I9" s="137"/>
      <c r="J9" s="138"/>
    </row>
    <row r="10" spans="1:10" ht="13.5" customHeight="1">
      <c r="A10" s="26" t="s">
        <v>13</v>
      </c>
      <c r="B10" s="21" t="s">
        <v>51</v>
      </c>
      <c r="C10" s="141" t="s">
        <v>130</v>
      </c>
      <c r="D10" s="142"/>
      <c r="E10" s="142"/>
      <c r="F10" s="142"/>
      <c r="G10" s="142"/>
      <c r="H10" s="142"/>
      <c r="I10" s="142"/>
      <c r="J10" s="143"/>
    </row>
    <row r="11" spans="1:10" ht="13.5" customHeight="1">
      <c r="A11" s="26" t="s">
        <v>14</v>
      </c>
      <c r="B11" s="22" t="s">
        <v>52</v>
      </c>
      <c r="C11" s="136" t="s">
        <v>131</v>
      </c>
      <c r="D11" s="137"/>
      <c r="E11" s="137"/>
      <c r="F11" s="137"/>
      <c r="G11" s="137"/>
      <c r="H11" s="137"/>
      <c r="I11" s="137"/>
      <c r="J11" s="138"/>
    </row>
    <row r="12" spans="1:10" ht="13.5" customHeight="1">
      <c r="A12" s="26" t="s">
        <v>15</v>
      </c>
      <c r="B12" s="21" t="s">
        <v>53</v>
      </c>
      <c r="C12" s="141" t="s">
        <v>132</v>
      </c>
      <c r="D12" s="142"/>
      <c r="E12" s="142"/>
      <c r="F12" s="142"/>
      <c r="G12" s="142"/>
      <c r="H12" s="142"/>
      <c r="I12" s="142"/>
      <c r="J12" s="143"/>
    </row>
    <row r="13" spans="1:10" ht="22.5" customHeight="1">
      <c r="A13" s="26" t="s">
        <v>16</v>
      </c>
      <c r="B13" s="22" t="s">
        <v>54</v>
      </c>
      <c r="C13" s="136" t="s">
        <v>133</v>
      </c>
      <c r="D13" s="137"/>
      <c r="E13" s="137"/>
      <c r="F13" s="137"/>
      <c r="G13" s="137"/>
      <c r="H13" s="137"/>
      <c r="I13" s="137"/>
      <c r="J13" s="138"/>
    </row>
    <row r="14" spans="1:10" ht="33" customHeight="1">
      <c r="A14" s="26" t="s">
        <v>17</v>
      </c>
      <c r="B14" s="21" t="s">
        <v>83</v>
      </c>
      <c r="C14" s="141" t="s">
        <v>134</v>
      </c>
      <c r="D14" s="142"/>
      <c r="E14" s="142"/>
      <c r="F14" s="142"/>
      <c r="G14" s="142"/>
      <c r="H14" s="142"/>
      <c r="I14" s="142"/>
      <c r="J14" s="143"/>
    </row>
    <row r="15" spans="1:10" ht="22.5" customHeight="1">
      <c r="A15" s="26" t="s">
        <v>18</v>
      </c>
      <c r="B15" s="22" t="s">
        <v>60</v>
      </c>
      <c r="C15" s="136" t="s">
        <v>135</v>
      </c>
      <c r="D15" s="137"/>
      <c r="E15" s="137"/>
      <c r="F15" s="137"/>
      <c r="G15" s="137"/>
      <c r="H15" s="137"/>
      <c r="I15" s="137"/>
      <c r="J15" s="138"/>
    </row>
    <row r="16" spans="1:10" ht="22.5" customHeight="1">
      <c r="A16" s="26" t="s">
        <v>19</v>
      </c>
      <c r="B16" s="21" t="s">
        <v>61</v>
      </c>
      <c r="C16" s="141" t="s">
        <v>136</v>
      </c>
      <c r="D16" s="142"/>
      <c r="E16" s="142"/>
      <c r="F16" s="142"/>
      <c r="G16" s="142"/>
      <c r="H16" s="142"/>
      <c r="I16" s="142"/>
      <c r="J16" s="143"/>
    </row>
    <row r="17" spans="1:10" ht="13.5" customHeight="1">
      <c r="A17" s="26" t="s">
        <v>20</v>
      </c>
      <c r="B17" s="22" t="s">
        <v>62</v>
      </c>
      <c r="C17" s="136" t="s">
        <v>137</v>
      </c>
      <c r="D17" s="137"/>
      <c r="E17" s="137"/>
      <c r="F17" s="137"/>
      <c r="G17" s="137"/>
      <c r="H17" s="137"/>
      <c r="I17" s="137"/>
      <c r="J17" s="138"/>
    </row>
    <row r="18" spans="1:10" ht="22.5" customHeight="1">
      <c r="A18" s="26" t="s">
        <v>21</v>
      </c>
      <c r="B18" s="21" t="s">
        <v>63</v>
      </c>
      <c r="C18" s="141" t="s">
        <v>138</v>
      </c>
      <c r="D18" s="142"/>
      <c r="E18" s="142"/>
      <c r="F18" s="142"/>
      <c r="G18" s="142"/>
      <c r="H18" s="142"/>
      <c r="I18" s="142"/>
      <c r="J18" s="143"/>
    </row>
    <row r="19" spans="1:10" ht="13.5" customHeight="1">
      <c r="A19" s="26" t="s">
        <v>22</v>
      </c>
      <c r="B19" s="22" t="s">
        <v>64</v>
      </c>
      <c r="C19" s="136" t="s">
        <v>139</v>
      </c>
      <c r="D19" s="137"/>
      <c r="E19" s="137"/>
      <c r="F19" s="137"/>
      <c r="G19" s="137"/>
      <c r="H19" s="137"/>
      <c r="I19" s="137"/>
      <c r="J19" s="138"/>
    </row>
    <row r="20" spans="1:10" ht="22.5" customHeight="1">
      <c r="B20" s="22" t="s">
        <v>154</v>
      </c>
      <c r="C20" s="136" t="s">
        <v>155</v>
      </c>
      <c r="D20" s="137"/>
      <c r="E20" s="137"/>
      <c r="F20" s="137"/>
      <c r="G20" s="137"/>
      <c r="H20" s="137"/>
      <c r="I20" s="137"/>
      <c r="J20" s="138"/>
    </row>
    <row r="21" spans="1:10" ht="13.5" customHeight="1">
      <c r="B21" s="21" t="s">
        <v>152</v>
      </c>
      <c r="C21" s="136" t="s">
        <v>153</v>
      </c>
      <c r="D21" s="137"/>
      <c r="E21" s="137"/>
      <c r="F21" s="137"/>
      <c r="G21" s="137"/>
      <c r="H21" s="137"/>
      <c r="I21" s="137"/>
      <c r="J21" s="138"/>
    </row>
    <row r="22" spans="1:10" ht="13.5" customHeight="1">
      <c r="A22" s="26" t="s">
        <v>24</v>
      </c>
      <c r="B22" s="22" t="s">
        <v>56</v>
      </c>
      <c r="C22" s="136" t="s">
        <v>66</v>
      </c>
      <c r="D22" s="137"/>
      <c r="E22" s="137"/>
      <c r="F22" s="137"/>
      <c r="G22" s="137"/>
      <c r="H22" s="137"/>
      <c r="I22" s="137"/>
      <c r="J22" s="138"/>
    </row>
    <row r="23" spans="1:10" ht="25.5" customHeight="1">
      <c r="A23" s="26" t="s">
        <v>25</v>
      </c>
      <c r="B23" s="19" t="s">
        <v>121</v>
      </c>
      <c r="C23" s="156" t="s">
        <v>67</v>
      </c>
      <c r="D23" s="156"/>
      <c r="E23" s="156"/>
      <c r="F23" s="156"/>
      <c r="G23" s="156"/>
      <c r="H23" s="156"/>
      <c r="I23" s="156"/>
      <c r="J23" s="156"/>
    </row>
    <row r="24" spans="1:10" ht="22.5" customHeight="1">
      <c r="A24" s="26" t="s">
        <v>26</v>
      </c>
      <c r="B24" s="22" t="s">
        <v>6</v>
      </c>
      <c r="C24" s="145" t="s">
        <v>157</v>
      </c>
      <c r="D24" s="145"/>
      <c r="E24" s="145"/>
      <c r="F24" s="145"/>
      <c r="G24" s="145"/>
      <c r="H24" s="145"/>
      <c r="I24" s="145"/>
      <c r="J24" s="145"/>
    </row>
    <row r="25" spans="1:10" ht="13.5" customHeight="1">
      <c r="A25" s="26" t="s">
        <v>27</v>
      </c>
      <c r="B25" s="22" t="s">
        <v>4</v>
      </c>
      <c r="C25" s="145" t="s">
        <v>213</v>
      </c>
      <c r="D25" s="145"/>
      <c r="E25" s="145"/>
      <c r="F25" s="145"/>
      <c r="G25" s="145"/>
      <c r="H25" s="145"/>
      <c r="I25" s="145"/>
      <c r="J25" s="145"/>
    </row>
    <row r="26" spans="1:10" ht="33" customHeight="1">
      <c r="A26" s="26" t="s">
        <v>28</v>
      </c>
      <c r="B26" s="22" t="s">
        <v>7</v>
      </c>
      <c r="C26" s="145" t="s">
        <v>158</v>
      </c>
      <c r="D26" s="145"/>
      <c r="E26" s="145"/>
      <c r="F26" s="145"/>
      <c r="G26" s="145"/>
      <c r="H26" s="145"/>
      <c r="I26" s="145"/>
      <c r="J26" s="145"/>
    </row>
    <row r="27" spans="1:10" ht="33" customHeight="1">
      <c r="A27" s="26" t="s">
        <v>29</v>
      </c>
      <c r="B27" s="22" t="s">
        <v>8</v>
      </c>
      <c r="C27" s="145" t="s">
        <v>159</v>
      </c>
      <c r="D27" s="145"/>
      <c r="E27" s="145"/>
      <c r="F27" s="145"/>
      <c r="G27" s="145"/>
      <c r="H27" s="145"/>
      <c r="I27" s="145"/>
      <c r="J27" s="145"/>
    </row>
    <row r="28" spans="1:10" ht="22.5" customHeight="1">
      <c r="A28" s="26" t="s">
        <v>30</v>
      </c>
      <c r="B28" s="22" t="s">
        <v>5</v>
      </c>
      <c r="C28" s="145" t="s">
        <v>160</v>
      </c>
      <c r="D28" s="145"/>
      <c r="E28" s="145"/>
      <c r="F28" s="145"/>
      <c r="G28" s="145"/>
      <c r="H28" s="145"/>
      <c r="I28" s="145"/>
      <c r="J28" s="145"/>
    </row>
    <row r="29" spans="1:10" s="4" customFormat="1" ht="25.5" customHeight="1">
      <c r="A29" s="27" t="s">
        <v>31</v>
      </c>
      <c r="B29" s="20" t="s">
        <v>122</v>
      </c>
      <c r="C29" s="149" t="s">
        <v>118</v>
      </c>
      <c r="D29" s="149"/>
      <c r="E29" s="149"/>
      <c r="F29" s="149"/>
      <c r="G29" s="149"/>
      <c r="H29" s="149"/>
      <c r="I29" s="149"/>
      <c r="J29" s="149"/>
    </row>
    <row r="30" spans="1:10" ht="13.5" customHeight="1">
      <c r="A30" s="26" t="s">
        <v>48</v>
      </c>
      <c r="B30" s="21" t="s">
        <v>87</v>
      </c>
      <c r="C30" s="131" t="s">
        <v>144</v>
      </c>
      <c r="D30" s="131"/>
      <c r="E30" s="131"/>
      <c r="F30" s="131"/>
      <c r="G30" s="131"/>
      <c r="H30" s="131"/>
      <c r="I30" s="131"/>
      <c r="J30" s="131"/>
    </row>
    <row r="31" spans="1:10" ht="13.5" customHeight="1">
      <c r="A31" s="26" t="s">
        <v>49</v>
      </c>
      <c r="B31" s="22" t="s">
        <v>86</v>
      </c>
      <c r="C31" s="145" t="s">
        <v>145</v>
      </c>
      <c r="D31" s="145"/>
      <c r="E31" s="145"/>
      <c r="F31" s="145"/>
      <c r="G31" s="145"/>
      <c r="H31" s="145"/>
      <c r="I31" s="145"/>
      <c r="J31" s="145"/>
    </row>
    <row r="32" spans="1:10" ht="13.5" customHeight="1">
      <c r="A32" s="26" t="s">
        <v>65</v>
      </c>
      <c r="B32" s="21" t="s">
        <v>85</v>
      </c>
      <c r="C32" s="131" t="s">
        <v>146</v>
      </c>
      <c r="D32" s="131"/>
      <c r="E32" s="131"/>
      <c r="F32" s="131"/>
      <c r="G32" s="131"/>
      <c r="H32" s="131"/>
      <c r="I32" s="131"/>
      <c r="J32" s="131"/>
    </row>
    <row r="33" spans="1:10" ht="13.5" customHeight="1">
      <c r="A33" s="26" t="s">
        <v>69</v>
      </c>
      <c r="B33" s="22" t="s">
        <v>84</v>
      </c>
      <c r="C33" s="145" t="s">
        <v>147</v>
      </c>
      <c r="D33" s="145"/>
      <c r="E33" s="145"/>
      <c r="F33" s="145"/>
      <c r="G33" s="145"/>
      <c r="H33" s="145"/>
      <c r="I33" s="145"/>
      <c r="J33" s="145"/>
    </row>
    <row r="34" spans="1:10" ht="13.5" customHeight="1">
      <c r="A34" s="26" t="s">
        <v>70</v>
      </c>
      <c r="B34" s="25" t="s">
        <v>116</v>
      </c>
      <c r="C34" s="148" t="s">
        <v>148</v>
      </c>
      <c r="D34" s="148"/>
      <c r="E34" s="148"/>
      <c r="F34" s="148"/>
      <c r="G34" s="148"/>
      <c r="H34" s="148"/>
      <c r="I34" s="148"/>
      <c r="J34" s="148"/>
    </row>
    <row r="35" spans="1:10" s="4" customFormat="1" ht="22.5" customHeight="1">
      <c r="A35" s="26" t="s">
        <v>117</v>
      </c>
      <c r="B35" s="22" t="s">
        <v>82</v>
      </c>
      <c r="C35" s="145" t="s">
        <v>149</v>
      </c>
      <c r="D35" s="145"/>
      <c r="E35" s="145"/>
      <c r="F35" s="145"/>
      <c r="G35" s="145"/>
      <c r="H35" s="145"/>
      <c r="I35" s="145"/>
      <c r="J35" s="145"/>
    </row>
    <row r="36" spans="1:10" s="4" customFormat="1" ht="22.5" customHeight="1">
      <c r="A36" s="28"/>
      <c r="B36" s="31" t="s">
        <v>161</v>
      </c>
      <c r="C36" s="161"/>
      <c r="D36" s="161"/>
      <c r="E36" s="161"/>
      <c r="F36" s="161"/>
      <c r="G36" s="161"/>
      <c r="H36" s="161"/>
      <c r="I36" s="161"/>
      <c r="J36" s="161"/>
    </row>
    <row r="37" spans="1:10" s="4" customFormat="1" ht="26.25" customHeight="1">
      <c r="A37" s="28"/>
      <c r="B37" s="34" t="s">
        <v>121</v>
      </c>
      <c r="C37" s="159"/>
      <c r="D37" s="159"/>
      <c r="E37" s="159"/>
      <c r="F37" s="159"/>
      <c r="G37" s="159"/>
      <c r="H37" s="159"/>
      <c r="I37" s="159"/>
      <c r="J37" s="159"/>
    </row>
    <row r="38" spans="1:10" s="4" customFormat="1" ht="22.5" customHeight="1">
      <c r="B38" s="33" t="s">
        <v>6</v>
      </c>
      <c r="C38" s="131" t="s">
        <v>140</v>
      </c>
      <c r="D38" s="131"/>
      <c r="E38" s="131"/>
      <c r="F38" s="131"/>
      <c r="G38" s="131"/>
      <c r="H38" s="131"/>
      <c r="I38" s="131"/>
      <c r="J38" s="131"/>
    </row>
    <row r="39" spans="1:10" ht="22.5" customHeight="1">
      <c r="A39" s="1"/>
      <c r="B39" s="33" t="s">
        <v>4</v>
      </c>
      <c r="C39" s="131" t="s">
        <v>214</v>
      </c>
      <c r="D39" s="131"/>
      <c r="E39" s="131"/>
      <c r="F39" s="131"/>
      <c r="G39" s="131"/>
      <c r="H39" s="131"/>
      <c r="I39" s="131"/>
      <c r="J39" s="131"/>
    </row>
    <row r="40" spans="1:10" s="4" customFormat="1" ht="22.5" customHeight="1">
      <c r="A40" s="28"/>
      <c r="B40" s="33" t="s">
        <v>7</v>
      </c>
      <c r="C40" s="131" t="s">
        <v>141</v>
      </c>
      <c r="D40" s="131"/>
      <c r="E40" s="131"/>
      <c r="F40" s="131"/>
      <c r="G40" s="131"/>
      <c r="H40" s="131"/>
      <c r="I40" s="131"/>
      <c r="J40" s="131"/>
    </row>
    <row r="41" spans="1:10" s="4" customFormat="1" ht="22.5" customHeight="1">
      <c r="A41" s="28"/>
      <c r="B41" s="33" t="s">
        <v>8</v>
      </c>
      <c r="C41" s="131" t="s">
        <v>142</v>
      </c>
      <c r="D41" s="131"/>
      <c r="E41" s="131"/>
      <c r="F41" s="131"/>
      <c r="G41" s="131"/>
      <c r="H41" s="131"/>
      <c r="I41" s="131"/>
      <c r="J41" s="131"/>
    </row>
    <row r="42" spans="1:10" s="4" customFormat="1" ht="22.5" customHeight="1">
      <c r="A42" s="28"/>
      <c r="B42" s="33" t="s">
        <v>5</v>
      </c>
      <c r="C42" s="131" t="s">
        <v>143</v>
      </c>
      <c r="D42" s="131"/>
      <c r="E42" s="131"/>
      <c r="F42" s="131"/>
      <c r="G42" s="131"/>
      <c r="H42" s="131"/>
      <c r="I42" s="131"/>
      <c r="J42" s="131"/>
    </row>
    <row r="43" spans="1:10" s="4" customFormat="1" ht="22.5" customHeight="1">
      <c r="A43" s="28"/>
      <c r="B43" s="33" t="s">
        <v>195</v>
      </c>
      <c r="C43" s="131" t="s">
        <v>196</v>
      </c>
      <c r="D43" s="131"/>
      <c r="E43" s="131"/>
      <c r="F43" s="131"/>
      <c r="G43" s="131"/>
      <c r="H43" s="131"/>
      <c r="I43" s="131"/>
      <c r="J43" s="131"/>
    </row>
    <row r="44" spans="1:10" s="4" customFormat="1" ht="23.25" customHeight="1">
      <c r="A44" s="28"/>
      <c r="B44" s="36" t="s">
        <v>193</v>
      </c>
      <c r="C44" s="141" t="s">
        <v>197</v>
      </c>
      <c r="D44" s="142"/>
      <c r="E44" s="142"/>
      <c r="F44" s="142"/>
      <c r="G44" s="142"/>
      <c r="H44" s="142"/>
      <c r="I44" s="142"/>
      <c r="J44" s="143"/>
    </row>
    <row r="45" spans="1:10" s="4" customFormat="1" ht="23.25" customHeight="1">
      <c r="A45" s="28"/>
      <c r="B45" s="32" t="s">
        <v>194</v>
      </c>
      <c r="C45" s="141" t="s">
        <v>198</v>
      </c>
      <c r="D45" s="142"/>
      <c r="E45" s="142"/>
      <c r="F45" s="142"/>
      <c r="G45" s="142"/>
      <c r="H45" s="142"/>
      <c r="I45" s="142"/>
      <c r="J45" s="143"/>
    </row>
    <row r="46" spans="1:10" s="4" customFormat="1" ht="23.25" customHeight="1">
      <c r="A46" s="26" t="s">
        <v>23</v>
      </c>
      <c r="B46" s="21" t="s">
        <v>55</v>
      </c>
      <c r="C46" s="141" t="s">
        <v>225</v>
      </c>
      <c r="D46" s="142"/>
      <c r="E46" s="142"/>
      <c r="F46" s="142"/>
      <c r="G46" s="142"/>
      <c r="H46" s="142"/>
      <c r="I46" s="142"/>
      <c r="J46" s="143"/>
    </row>
    <row r="47" spans="1:10" s="4" customFormat="1" ht="13.5" customHeight="1">
      <c r="A47" s="28"/>
      <c r="B47" s="23"/>
      <c r="C47" s="6"/>
      <c r="D47" s="7"/>
      <c r="E47" s="7"/>
      <c r="F47" s="15"/>
      <c r="G47" s="15"/>
      <c r="H47" s="15"/>
      <c r="I47" s="15"/>
      <c r="J47" s="15"/>
    </row>
    <row r="48" spans="1:10" s="4" customFormat="1" ht="13.5" customHeight="1">
      <c r="A48" s="28"/>
      <c r="B48" s="23"/>
      <c r="C48" s="6"/>
      <c r="D48" s="7"/>
      <c r="E48" s="7"/>
      <c r="F48" s="15"/>
      <c r="G48" s="15"/>
      <c r="H48" s="15"/>
      <c r="I48" s="15"/>
      <c r="J48" s="15"/>
    </row>
    <row r="49" spans="1:24" s="4" customFormat="1" ht="13.5" customHeight="1">
      <c r="A49" s="28"/>
      <c r="B49" s="23"/>
      <c r="C49" s="6"/>
      <c r="D49" s="7"/>
      <c r="E49" s="7"/>
      <c r="F49" s="15"/>
      <c r="G49" s="15"/>
      <c r="H49" s="15"/>
      <c r="I49" s="15"/>
      <c r="J49" s="15"/>
    </row>
    <row r="50" spans="1:24" s="4" customFormat="1" ht="13.5" customHeight="1">
      <c r="A50" s="28"/>
      <c r="B50" s="23"/>
      <c r="C50" s="6"/>
      <c r="D50" s="7"/>
      <c r="E50" s="7"/>
      <c r="F50" s="15"/>
      <c r="G50" s="15"/>
      <c r="H50" s="15"/>
      <c r="I50" s="15"/>
      <c r="J50" s="15"/>
    </row>
    <row r="51" spans="1:24" s="4" customFormat="1" ht="13.5" customHeight="1">
      <c r="A51" s="28"/>
      <c r="B51" s="23"/>
      <c r="C51" s="6"/>
      <c r="D51" s="7"/>
      <c r="E51" s="7"/>
      <c r="F51" s="15"/>
      <c r="G51" s="15"/>
      <c r="H51" s="15"/>
      <c r="I51" s="15"/>
      <c r="J51" s="15"/>
    </row>
    <row r="52" spans="1:24" s="4" customFormat="1" ht="13.5" customHeight="1">
      <c r="A52" s="28"/>
      <c r="B52" s="23"/>
      <c r="C52" s="6"/>
      <c r="D52" s="7"/>
      <c r="E52" s="7"/>
      <c r="F52" s="15"/>
      <c r="G52" s="15"/>
      <c r="H52" s="15"/>
      <c r="I52" s="15"/>
      <c r="J52" s="15"/>
    </row>
    <row r="53" spans="1:24" s="4" customFormat="1" ht="13.5" customHeight="1">
      <c r="A53" s="28"/>
      <c r="B53" s="23"/>
      <c r="C53" s="6"/>
      <c r="D53" s="7"/>
      <c r="E53" s="7"/>
      <c r="F53" s="15"/>
      <c r="G53" s="15"/>
      <c r="H53" s="15"/>
      <c r="I53" s="15"/>
      <c r="J53" s="15"/>
    </row>
    <row r="54" spans="1:24" s="4" customFormat="1" ht="13.5" customHeight="1">
      <c r="A54" s="28"/>
      <c r="B54" s="23"/>
      <c r="C54" s="6"/>
      <c r="D54" s="7"/>
      <c r="E54" s="7"/>
      <c r="F54" s="15"/>
      <c r="G54" s="15"/>
      <c r="H54" s="15"/>
      <c r="I54" s="15"/>
      <c r="J54" s="15"/>
    </row>
    <row r="55" spans="1:24" s="4" customFormat="1" ht="13.5" customHeight="1">
      <c r="A55" s="28"/>
      <c r="B55" s="23"/>
      <c r="C55" s="6"/>
      <c r="D55" s="7"/>
      <c r="E55" s="7"/>
      <c r="F55" s="15"/>
      <c r="G55" s="15"/>
      <c r="H55" s="15"/>
      <c r="I55" s="15"/>
      <c r="J55" s="15"/>
    </row>
    <row r="56" spans="1:24" s="4" customFormat="1" ht="13.5" customHeight="1">
      <c r="A56" s="28"/>
      <c r="B56" s="23"/>
      <c r="C56" s="6"/>
      <c r="D56" s="7"/>
      <c r="E56" s="7"/>
      <c r="F56" s="15"/>
      <c r="G56" s="15"/>
      <c r="H56" s="15"/>
      <c r="I56" s="15"/>
      <c r="J56" s="15"/>
    </row>
    <row r="57" spans="1:24" s="4" customFormat="1" ht="13.5" customHeight="1">
      <c r="A57" s="27"/>
      <c r="B57" s="5"/>
      <c r="C57" s="6"/>
      <c r="D57" s="7"/>
      <c r="E57" s="7"/>
      <c r="F57" s="3"/>
      <c r="G57" s="3"/>
      <c r="H57" s="3"/>
      <c r="I57" s="3"/>
      <c r="J57" s="3"/>
    </row>
    <row r="58" spans="1:24" ht="75" customHeight="1">
      <c r="B58" s="144" t="str">
        <f>CONCATENATE("Informacja z wykonania budżetów jednostek samorządu terytorialnego za ",okres!$C$1," ",okres!$B$2," roku")</f>
        <v>Informacja z wykonania budżetów jednostek samorządu terytorialnego za - 2019 roku</v>
      </c>
      <c r="C58" s="144"/>
      <c r="D58" s="144"/>
      <c r="E58" s="144"/>
      <c r="F58" s="144"/>
      <c r="G58" s="144"/>
      <c r="H58" s="144"/>
      <c r="I58" s="144"/>
      <c r="J58" s="144"/>
    </row>
    <row r="59" spans="1:24" s="4" customFormat="1" ht="13.5" customHeight="1">
      <c r="A59" s="27"/>
      <c r="B59" s="5"/>
      <c r="C59" s="6"/>
      <c r="D59" s="7"/>
      <c r="E59" s="7"/>
      <c r="F59" s="3"/>
      <c r="G59" s="3"/>
      <c r="H59" s="3"/>
      <c r="I59" s="3"/>
      <c r="J59" s="3"/>
    </row>
    <row r="60" spans="1:24" ht="29.25" customHeight="1">
      <c r="B60" s="139" t="s">
        <v>0</v>
      </c>
      <c r="C60" s="140" t="s">
        <v>111</v>
      </c>
      <c r="D60" s="140" t="s">
        <v>112</v>
      </c>
      <c r="E60" s="140" t="s">
        <v>113</v>
      </c>
      <c r="F60" s="140" t="s">
        <v>32</v>
      </c>
      <c r="G60" s="140"/>
      <c r="H60" s="140"/>
      <c r="I60" s="140" t="s">
        <v>115</v>
      </c>
      <c r="J60" s="140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8" customHeight="1">
      <c r="B61" s="139"/>
      <c r="C61" s="140"/>
      <c r="D61" s="128"/>
      <c r="E61" s="140"/>
      <c r="F61" s="147" t="s">
        <v>114</v>
      </c>
      <c r="G61" s="160" t="s">
        <v>71</v>
      </c>
      <c r="H61" s="128"/>
      <c r="I61" s="140"/>
      <c r="J61" s="140"/>
      <c r="K61" s="10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36" customHeight="1">
      <c r="B62" s="139"/>
      <c r="C62" s="140"/>
      <c r="D62" s="128"/>
      <c r="E62" s="140"/>
      <c r="F62" s="128"/>
      <c r="G62" s="17" t="s">
        <v>92</v>
      </c>
      <c r="H62" s="17" t="s">
        <v>93</v>
      </c>
      <c r="I62" s="140"/>
      <c r="J62" s="140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3.5" customHeight="1">
      <c r="B63" s="139"/>
      <c r="C63" s="16" t="s">
        <v>95</v>
      </c>
      <c r="D63" s="16" t="s">
        <v>103</v>
      </c>
      <c r="E63" s="16" t="s">
        <v>104</v>
      </c>
      <c r="F63" s="16" t="s">
        <v>105</v>
      </c>
      <c r="G63" s="16" t="s">
        <v>106</v>
      </c>
      <c r="H63" s="16" t="s">
        <v>107</v>
      </c>
      <c r="I63" s="129" t="s">
        <v>108</v>
      </c>
      <c r="J63" s="13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1.25" customHeight="1">
      <c r="B64" s="16">
        <v>1</v>
      </c>
      <c r="C64" s="18">
        <v>2</v>
      </c>
      <c r="D64" s="18">
        <v>3</v>
      </c>
      <c r="E64" s="18">
        <v>4</v>
      </c>
      <c r="F64" s="16">
        <v>5</v>
      </c>
      <c r="G64" s="16">
        <v>6</v>
      </c>
      <c r="H64" s="18">
        <v>7</v>
      </c>
      <c r="I64" s="128">
        <v>8</v>
      </c>
      <c r="J64" s="12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11" ht="25.5" customHeight="1">
      <c r="A65" s="26" t="s">
        <v>34</v>
      </c>
      <c r="B65" s="19" t="s">
        <v>123</v>
      </c>
      <c r="C65" s="146" t="s">
        <v>94</v>
      </c>
      <c r="D65" s="146"/>
      <c r="E65" s="146"/>
      <c r="F65" s="146"/>
      <c r="G65" s="146"/>
      <c r="H65" s="146"/>
      <c r="I65" s="146"/>
      <c r="J65" s="146"/>
    </row>
    <row r="66" spans="1:11" ht="36.75" customHeight="1">
      <c r="A66" s="26" t="s">
        <v>35</v>
      </c>
      <c r="B66" s="20" t="s">
        <v>33</v>
      </c>
      <c r="C66" s="133" t="s">
        <v>229</v>
      </c>
      <c r="D66" s="134"/>
      <c r="E66" s="134"/>
      <c r="F66" s="134"/>
      <c r="G66" s="134"/>
      <c r="H66" s="134"/>
      <c r="I66" s="134"/>
      <c r="J66" s="135"/>
      <c r="K66" s="1" t="s">
        <v>228</v>
      </c>
    </row>
    <row r="67" spans="1:11" ht="22.5" customHeight="1">
      <c r="A67" s="26" t="s">
        <v>36</v>
      </c>
      <c r="B67" s="21" t="s">
        <v>216</v>
      </c>
      <c r="C67" s="131" t="s">
        <v>215</v>
      </c>
      <c r="D67" s="131"/>
      <c r="E67" s="131"/>
      <c r="F67" s="131"/>
      <c r="G67" s="131"/>
      <c r="H67" s="131"/>
      <c r="I67" s="131"/>
      <c r="J67" s="131"/>
    </row>
    <row r="68" spans="1:11" ht="25.5" customHeight="1">
      <c r="A68" s="26" t="s">
        <v>37</v>
      </c>
      <c r="B68" s="20" t="s">
        <v>124</v>
      </c>
      <c r="C68" s="132" t="s">
        <v>59</v>
      </c>
      <c r="D68" s="132"/>
      <c r="E68" s="132"/>
      <c r="F68" s="132"/>
      <c r="G68" s="132"/>
      <c r="H68" s="132"/>
      <c r="I68" s="132"/>
      <c r="J68" s="132"/>
    </row>
    <row r="69" spans="1:11" ht="23.25" customHeight="1">
      <c r="A69" s="26" t="s">
        <v>38</v>
      </c>
      <c r="B69" s="21" t="s">
        <v>192</v>
      </c>
      <c r="C69" s="131" t="s">
        <v>217</v>
      </c>
      <c r="D69" s="131"/>
      <c r="E69" s="131"/>
      <c r="F69" s="131"/>
      <c r="G69" s="131"/>
      <c r="H69" s="131"/>
      <c r="I69" s="131"/>
      <c r="J69" s="131"/>
    </row>
    <row r="70" spans="1:11" ht="22.5" customHeight="1">
      <c r="A70" s="26" t="s">
        <v>39</v>
      </c>
      <c r="B70" s="24" t="s">
        <v>88</v>
      </c>
      <c r="C70" s="127" t="s">
        <v>150</v>
      </c>
      <c r="D70" s="127"/>
      <c r="E70" s="127"/>
      <c r="F70" s="127"/>
      <c r="G70" s="127"/>
      <c r="H70" s="127"/>
      <c r="I70" s="127"/>
      <c r="J70" s="127"/>
    </row>
    <row r="71" spans="1:11" ht="13.5" customHeight="1">
      <c r="A71" s="26" t="s">
        <v>40</v>
      </c>
      <c r="B71" s="21" t="s">
        <v>91</v>
      </c>
      <c r="C71" s="131" t="s">
        <v>151</v>
      </c>
      <c r="D71" s="131"/>
      <c r="E71" s="131"/>
      <c r="F71" s="131"/>
      <c r="G71" s="131"/>
      <c r="H71" s="131"/>
      <c r="I71" s="131"/>
      <c r="J71" s="131"/>
    </row>
    <row r="72" spans="1:11" ht="23.25" customHeight="1">
      <c r="A72" s="26" t="s">
        <v>41</v>
      </c>
      <c r="B72" s="22" t="s">
        <v>90</v>
      </c>
      <c r="C72" s="127" t="s">
        <v>221</v>
      </c>
      <c r="D72" s="127"/>
      <c r="E72" s="127"/>
      <c r="F72" s="127"/>
      <c r="G72" s="127"/>
      <c r="H72" s="127"/>
      <c r="I72" s="127"/>
      <c r="J72" s="127"/>
    </row>
    <row r="73" spans="1:11" ht="13.5" customHeight="1">
      <c r="A73" s="26" t="s">
        <v>42</v>
      </c>
      <c r="B73" s="21" t="s">
        <v>89</v>
      </c>
      <c r="C73" s="131" t="s">
        <v>220</v>
      </c>
      <c r="D73" s="131"/>
      <c r="E73" s="131"/>
      <c r="F73" s="131"/>
      <c r="G73" s="131"/>
      <c r="H73" s="131"/>
      <c r="I73" s="131"/>
      <c r="J73" s="131"/>
    </row>
    <row r="74" spans="1:11" ht="22.5" customHeight="1">
      <c r="A74" s="26" t="s">
        <v>43</v>
      </c>
      <c r="B74" s="22" t="s">
        <v>218</v>
      </c>
      <c r="C74" s="127" t="s">
        <v>219</v>
      </c>
      <c r="D74" s="127"/>
      <c r="E74" s="127"/>
      <c r="F74" s="127"/>
      <c r="G74" s="127"/>
      <c r="H74" s="127"/>
      <c r="I74" s="127"/>
      <c r="J74" s="127"/>
    </row>
    <row r="75" spans="1:11" ht="13.5" customHeight="1">
      <c r="A75" s="26" t="s">
        <v>44</v>
      </c>
      <c r="B75" s="21" t="s">
        <v>164</v>
      </c>
      <c r="C75" s="131" t="s">
        <v>165</v>
      </c>
      <c r="D75" s="131"/>
      <c r="E75" s="131"/>
      <c r="F75" s="131"/>
      <c r="G75" s="131"/>
      <c r="H75" s="131"/>
      <c r="I75" s="131"/>
      <c r="J75" s="131"/>
    </row>
    <row r="76" spans="1:11" ht="24" customHeight="1">
      <c r="A76" s="26" t="s">
        <v>45</v>
      </c>
      <c r="B76" s="20" t="s">
        <v>46</v>
      </c>
      <c r="C76" s="132" t="s">
        <v>57</v>
      </c>
      <c r="D76" s="132"/>
      <c r="E76" s="132"/>
      <c r="F76" s="132"/>
      <c r="G76" s="132"/>
      <c r="H76" s="132"/>
      <c r="I76" s="132"/>
      <c r="J76" s="132"/>
    </row>
    <row r="77" spans="1:11" ht="12" customHeight="1">
      <c r="B77" s="12"/>
      <c r="C77" s="13"/>
      <c r="D77" s="13"/>
      <c r="E77" s="13"/>
      <c r="F77" s="2"/>
      <c r="G77" s="2"/>
      <c r="H77" s="2"/>
      <c r="I77" s="2"/>
    </row>
    <row r="78" spans="1:11" ht="12" customHeight="1">
      <c r="B78" s="12"/>
      <c r="C78" s="13"/>
      <c r="D78" s="13"/>
      <c r="E78" s="13"/>
      <c r="F78" s="2"/>
      <c r="G78" s="2"/>
      <c r="H78" s="2"/>
      <c r="I78" s="2"/>
    </row>
    <row r="79" spans="1:11" ht="12" customHeight="1">
      <c r="B79" s="12"/>
      <c r="C79" s="13"/>
      <c r="D79" s="13"/>
      <c r="E79" s="13"/>
      <c r="F79" s="2"/>
      <c r="G79" s="2"/>
      <c r="H79" s="2"/>
      <c r="I79" s="2"/>
    </row>
    <row r="80" spans="1:11" ht="12" customHeight="1">
      <c r="B80" s="12"/>
      <c r="C80" s="13"/>
      <c r="D80" s="13"/>
      <c r="E80" s="13"/>
      <c r="F80" s="2"/>
      <c r="G80" s="2"/>
      <c r="H80" s="2"/>
      <c r="I80" s="2"/>
    </row>
  </sheetData>
  <mergeCells count="66">
    <mergeCell ref="C39:J39"/>
    <mergeCell ref="C60:C62"/>
    <mergeCell ref="C44:J44"/>
    <mergeCell ref="F60:H60"/>
    <mergeCell ref="G61:H61"/>
    <mergeCell ref="C43:J43"/>
    <mergeCell ref="C40:J40"/>
    <mergeCell ref="C41:J41"/>
    <mergeCell ref="C42:J42"/>
    <mergeCell ref="C38:J38"/>
    <mergeCell ref="C31:J31"/>
    <mergeCell ref="C32:J32"/>
    <mergeCell ref="C33:J33"/>
    <mergeCell ref="C37:J37"/>
    <mergeCell ref="C35:J35"/>
    <mergeCell ref="C36:J36"/>
    <mergeCell ref="B1:J1"/>
    <mergeCell ref="C6:J6"/>
    <mergeCell ref="C7:J7"/>
    <mergeCell ref="C19:J19"/>
    <mergeCell ref="C23:J23"/>
    <mergeCell ref="C8:J8"/>
    <mergeCell ref="B3:B4"/>
    <mergeCell ref="C22:J22"/>
    <mergeCell ref="C20:J20"/>
    <mergeCell ref="C25:J25"/>
    <mergeCell ref="C9:J9"/>
    <mergeCell ref="C13:J13"/>
    <mergeCell ref="C14:J14"/>
    <mergeCell ref="C15:J15"/>
    <mergeCell ref="C16:J16"/>
    <mergeCell ref="C17:J17"/>
    <mergeCell ref="C12:J12"/>
    <mergeCell ref="C10:J10"/>
    <mergeCell ref="C18:J18"/>
    <mergeCell ref="C24:J24"/>
    <mergeCell ref="C21:J21"/>
    <mergeCell ref="C11:J11"/>
    <mergeCell ref="B60:B63"/>
    <mergeCell ref="D60:D62"/>
    <mergeCell ref="C46:J46"/>
    <mergeCell ref="I60:J62"/>
    <mergeCell ref="B58:J58"/>
    <mergeCell ref="C45:J45"/>
    <mergeCell ref="C26:J26"/>
    <mergeCell ref="C27:J27"/>
    <mergeCell ref="C28:J28"/>
    <mergeCell ref="E60:E62"/>
    <mergeCell ref="F61:F62"/>
    <mergeCell ref="C34:J34"/>
    <mergeCell ref="C29:J29"/>
    <mergeCell ref="C30:J30"/>
    <mergeCell ref="C76:J76"/>
    <mergeCell ref="C75:J75"/>
    <mergeCell ref="C66:J66"/>
    <mergeCell ref="C67:J67"/>
    <mergeCell ref="C68:J68"/>
    <mergeCell ref="C74:J74"/>
    <mergeCell ref="C72:J72"/>
    <mergeCell ref="C73:J73"/>
    <mergeCell ref="C70:J70"/>
    <mergeCell ref="I64:J64"/>
    <mergeCell ref="I63:J63"/>
    <mergeCell ref="C71:J71"/>
    <mergeCell ref="C69:J69"/>
    <mergeCell ref="C65:J65"/>
  </mergeCells>
  <phoneticPr fontId="0" type="noConversion"/>
  <pageMargins left="0.18" right="0.18" top="0.55118110236220474" bottom="0.39370078740157483" header="0.31496062992125984" footer="0.19685039370078741"/>
  <pageSetup paperSize="9" scale="95" orientation="landscape" r:id="rId1"/>
  <headerFooter alignWithMargins="0">
    <oddFooter>&amp;L&amp;"Arial CE,Kursywa"&amp;9&amp;D&amp;R&amp;9strona &amp;P z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okres</vt:lpstr>
      <vt:lpstr>doch_wyd</vt:lpstr>
      <vt:lpstr>rysunki</vt:lpstr>
      <vt:lpstr>definicja</vt:lpstr>
    </vt:vector>
  </TitlesOfParts>
  <Company>Min. Fin.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UG Ryman 2</cp:lastModifiedBy>
  <cp:lastPrinted>2008-10-12T16:59:33Z</cp:lastPrinted>
  <dcterms:created xsi:type="dcterms:W3CDTF">2001-05-17T08:58:03Z</dcterms:created>
  <dcterms:modified xsi:type="dcterms:W3CDTF">2020-05-04T11:49:52Z</dcterms:modified>
</cp:coreProperties>
</file>